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mo\OneDrive\Desktop\OCCOG\OCCOG\"/>
    </mc:Choice>
  </mc:AlternateContent>
  <xr:revisionPtr revIDLastSave="0" documentId="8_{0A03A812-FFFB-48F5-B65C-0E64106C13E3}" xr6:coauthVersionLast="47" xr6:coauthVersionMax="47" xr10:uidLastSave="{00000000-0000-0000-0000-000000000000}"/>
  <bookViews>
    <workbookView xWindow="-110" yWindow="-110" windowWidth="22780" windowHeight="14660" tabRatio="746" xr2:uid="{00000000-000D-0000-FFFF-FFFF00000000}"/>
  </bookViews>
  <sheets>
    <sheet name="DRAFT 2022-2023 Budget  " sheetId="8" r:id="rId1"/>
    <sheet name="Contract Staff Worksheet" sheetId="20" r:id="rId2"/>
    <sheet name="General Assembly Worksheet" sheetId="19" r:id="rId3"/>
    <sheet name="OCDAP Worksheet" sheetId="13" r:id="rId4"/>
    <sheet name="Sheet1" sheetId="12" state="hidden" r:id="rId5"/>
    <sheet name="FY 2021-22 GA Budget Draft" sheetId="11" state="hidden" r:id="rId6"/>
    <sheet name="OCCOG Dues FY 2022-23" sheetId="16" r:id="rId7"/>
    <sheet name="OCCOG Dues FY 2022-23 increase " sheetId="18" r:id="rId8"/>
    <sheet name="CDR Dues FY 2022-23" sheetId="17" r:id="rId9"/>
  </sheets>
  <definedNames>
    <definedName name="_xlnm.Print_Titles" localSheetId="0">'DRAFT 2022-2023 Budget  '!$A:$F,'DRAFT 2022-2023 Budget  '!$2:$3</definedName>
    <definedName name="QB_COLUMN_59200" localSheetId="0" hidden="1">'DRAFT 2022-2023 Budget  '!$M$3</definedName>
    <definedName name="QB_COLUMN_63620" localSheetId="0" hidden="1">'DRAFT 2022-2023 Budget  '!$Q$3</definedName>
    <definedName name="QB_COLUMN_64430" localSheetId="0" hidden="1">'DRAFT 2022-2023 Budget  '!$S$3</definedName>
    <definedName name="QB_COLUMN_76210" localSheetId="0" hidden="1">'DRAFT 2022-2023 Budget  '!$O$3</definedName>
    <definedName name="QB_DATA_0" localSheetId="0" hidden="1">'DRAFT 2022-2023 Budget  '!$12:$12,'DRAFT 2022-2023 Budget  '!$13:$13,'DRAFT 2022-2023 Budget  '!$25:$25,'DRAFT 2022-2023 Budget  '!#REF!,'DRAFT 2022-2023 Budget  '!$31:$31,'DRAFT 2022-2023 Budget  '!$39:$39,'DRAFT 2022-2023 Budget  '!$40:$40,'DRAFT 2022-2023 Budget  '!#REF!,'DRAFT 2022-2023 Budget  '!$43:$43,'DRAFT 2022-2023 Budget  '!#REF!,'DRAFT 2022-2023 Budget  '!$58:$58,'DRAFT 2022-2023 Budget  '!$59:$59,'DRAFT 2022-2023 Budget  '!$61:$61,'DRAFT 2022-2023 Budget  '!$63:$63,'DRAFT 2022-2023 Budget  '!$64:$64,'DRAFT 2022-2023 Budget  '!$66:$66</definedName>
    <definedName name="QB_DATA_1" localSheetId="0" hidden="1">'DRAFT 2022-2023 Budget  '!$71:$71,'DRAFT 2022-2023 Budget  '!$74:$74,'DRAFT 2022-2023 Budget  '!$75:$75,'DRAFT 2022-2023 Budget  '!$76:$76</definedName>
    <definedName name="QB_FORMULA_0" localSheetId="0" hidden="1">'DRAFT 2022-2023 Budget  '!$Q$12,'DRAFT 2022-2023 Budget  '!$S$12,'DRAFT 2022-2023 Budget  '!$Q$13,'DRAFT 2022-2023 Budget  '!$S$13,'DRAFT 2022-2023 Budget  '!$M$16,'DRAFT 2022-2023 Budget  '!$O$16,'DRAFT 2022-2023 Budget  '!$Q$16,'DRAFT 2022-2023 Budget  '!$S$16,'DRAFT 2022-2023 Budget  '!$M$20,'DRAFT 2022-2023 Budget  '!$O$20,'DRAFT 2022-2023 Budget  '!$Q$20,'DRAFT 2022-2023 Budget  '!$S$20,'DRAFT 2022-2023 Budget  '!$Q$25,'DRAFT 2022-2023 Budget  '!$S$25,'DRAFT 2022-2023 Budget  '!$M$28,'DRAFT 2022-2023 Budget  '!$O$28</definedName>
    <definedName name="QB_FORMULA_1" localSheetId="0" hidden="1">'DRAFT 2022-2023 Budget  '!$Q$28,'DRAFT 2022-2023 Budget  '!$S$28,'DRAFT 2022-2023 Budget  '!$Q$31,'DRAFT 2022-2023 Budget  '!$S$31,'DRAFT 2022-2023 Budget  '!$M$32,'DRAFT 2022-2023 Budget  '!$O$32,'DRAFT 2022-2023 Budget  '!$Q$32,'DRAFT 2022-2023 Budget  '!$S$32,'DRAFT 2022-2023 Budget  '!$Q$39,'DRAFT 2022-2023 Budget  '!$S$39,'DRAFT 2022-2023 Budget  '!$Q$40,'DRAFT 2022-2023 Budget  '!$S$40,'DRAFT 2022-2023 Budget  '!#REF!,'DRAFT 2022-2023 Budget  '!#REF!,'DRAFT 2022-2023 Budget  '!$Q$43,'DRAFT 2022-2023 Budget  '!$S$43</definedName>
    <definedName name="QB_FORMULA_2" localSheetId="0" hidden="1">'DRAFT 2022-2023 Budget  '!#REF!,'DRAFT 2022-2023 Budget  '!$O$44,'DRAFT 2022-2023 Budget  '!$Q$44,'DRAFT 2022-2023 Budget  '!$S$44,'DRAFT 2022-2023 Budget  '!#REF!,'DRAFT 2022-2023 Budget  '!#REF!,'DRAFT 2022-2023 Budget  '!$M$59,'DRAFT 2022-2023 Budget  '!#REF!,'DRAFT 2022-2023 Budget  '!#REF!,'DRAFT 2022-2023 Budget  '!#REF!,'DRAFT 2022-2023 Budget  '!$Q$63,'DRAFT 2022-2023 Budget  '!$S$63,'DRAFT 2022-2023 Budget  '!$Q$64,'DRAFT 2022-2023 Budget  '!$S$64,'DRAFT 2022-2023 Budget  '!$Q$66,'DRAFT 2022-2023 Budget  '!$S$66</definedName>
    <definedName name="QB_FORMULA_3" localSheetId="0" hidden="1">'DRAFT 2022-2023 Budget  '!$M$72,'DRAFT 2022-2023 Budget  '!$O$67,'DRAFT 2022-2023 Budget  '!$Q$67,'DRAFT 2022-2023 Budget  '!$S$67,'DRAFT 2022-2023 Budget  '!$Q$71,'DRAFT 2022-2023 Budget  '!$S$71,'DRAFT 2022-2023 Budget  '!#REF!,'DRAFT 2022-2023 Budget  '!$O$72,'DRAFT 2022-2023 Budget  '!$Q$72,'DRAFT 2022-2023 Budget  '!$S$72,'DRAFT 2022-2023 Budget  '!$Q$76,'DRAFT 2022-2023 Budget  '!$S$76,'DRAFT 2022-2023 Budget  '!#REF!,'DRAFT 2022-2023 Budget  '!$O$77,'DRAFT 2022-2023 Budget  '!$Q$77,'DRAFT 2022-2023 Budget  '!$S$77</definedName>
    <definedName name="QB_FORMULA_4" localSheetId="0" hidden="1">'DRAFT 2022-2023 Budget  '!#REF!,'DRAFT 2022-2023 Budget  '!$O$78,'DRAFT 2022-2023 Budget  '!$Q$78,'DRAFT 2022-2023 Budget  '!$S$78,'DRAFT 2022-2023 Budget  '!#REF!,'DRAFT 2022-2023 Budget  '!$O$83,'DRAFT 2022-2023 Budget  '!#REF!,'DRAFT 2022-2023 Budget  '!$S$83,'DRAFT 2022-2023 Budget  '!$M$85,'DRAFT 2022-2023 Budget  '!$O$85,'DRAFT 2022-2023 Budget  '!$Q$85,'DRAFT 2022-2023 Budget  '!$S$85</definedName>
    <definedName name="QB_ROW_18301" localSheetId="0" hidden="1">'DRAFT 2022-2023 Budget  '!$A$85</definedName>
    <definedName name="QB_ROW_19011" localSheetId="0" hidden="1">'DRAFT 2022-2023 Budget  '!$B$4</definedName>
    <definedName name="QB_ROW_19030" localSheetId="0" hidden="1">'DRAFT 2022-2023 Budget  '!$D$10</definedName>
    <definedName name="QB_ROW_19311" localSheetId="0" hidden="1">'DRAFT 2022-2023 Budget  '!$B$83</definedName>
    <definedName name="QB_ROW_19330" localSheetId="0" hidden="1">'DRAFT 2022-2023 Budget  '!$D$16</definedName>
    <definedName name="QB_ROW_20021" localSheetId="0" hidden="1">'DRAFT 2022-2023 Budget  '!$C$5</definedName>
    <definedName name="QB_ROW_20240" localSheetId="0" hidden="1">'DRAFT 2022-2023 Budget  '!$E$12</definedName>
    <definedName name="QB_ROW_20321" localSheetId="0" hidden="1">'DRAFT 2022-2023 Budget  '!$C$20</definedName>
    <definedName name="QB_ROW_21021" localSheetId="0" hidden="1">'DRAFT 2022-2023 Budget  '!$C$22</definedName>
    <definedName name="QB_ROW_21240" localSheetId="0" hidden="1">'DRAFT 2022-2023 Budget  '!$E$13</definedName>
    <definedName name="QB_ROW_21321" localSheetId="0" hidden="1">'DRAFT 2022-2023 Budget  '!$C$78</definedName>
    <definedName name="QB_ROW_24030" localSheetId="0" hidden="1">'DRAFT 2022-2023 Budget  '!$D$29</definedName>
    <definedName name="QB_ROW_24330" localSheetId="0" hidden="1">'DRAFT 2022-2023 Budget  '!$D$44</definedName>
    <definedName name="QB_ROW_25240" localSheetId="0" hidden="1">'DRAFT 2022-2023 Budget  '!$E$40</definedName>
    <definedName name="QB_ROW_26240" localSheetId="0" hidden="1">'DRAFT 2022-2023 Budget  '!$E$39</definedName>
    <definedName name="QB_ROW_28030" localSheetId="0" hidden="1">'DRAFT 2022-2023 Budget  '!#REF!</definedName>
    <definedName name="QB_ROW_28330" localSheetId="0" hidden="1">'DRAFT 2022-2023 Budget  '!#REF!</definedName>
    <definedName name="QB_ROW_33240" localSheetId="0" hidden="1">'DRAFT 2022-2023 Budget  '!#REF!</definedName>
    <definedName name="QB_ROW_34030" localSheetId="0" hidden="1">'DRAFT 2022-2023 Budget  '!$D$57</definedName>
    <definedName name="QB_ROW_34330" localSheetId="0" hidden="1">'DRAFT 2022-2023 Budget  '!$D$67</definedName>
    <definedName name="QB_ROW_35240" localSheetId="0" hidden="1">'DRAFT 2022-2023 Budget  '!$E$58</definedName>
    <definedName name="QB_ROW_36240" localSheetId="0" hidden="1">'DRAFT 2022-2023 Budget  '!$E$59</definedName>
    <definedName name="QB_ROW_38240" localSheetId="0" hidden="1">'DRAFT 2022-2023 Budget  '!$E$61</definedName>
    <definedName name="QB_ROW_40030" localSheetId="0" hidden="1">'DRAFT 2022-2023 Budget  '!$D$68</definedName>
    <definedName name="QB_ROW_40330" localSheetId="0" hidden="1">'DRAFT 2022-2023 Budget  '!$D$72</definedName>
    <definedName name="QB_ROW_41240" localSheetId="0" hidden="1">'DRAFT 2022-2023 Budget  '!$E$71</definedName>
    <definedName name="QB_ROW_43030" localSheetId="0" hidden="1">'DRAFT 2022-2023 Budget  '!$D$73</definedName>
    <definedName name="QB_ROW_43240" localSheetId="0" hidden="1">'DRAFT 2022-2023 Budget  '!$E$76</definedName>
    <definedName name="QB_ROW_43330" localSheetId="0" hidden="1">'DRAFT 2022-2023 Budget  '!$D$77</definedName>
    <definedName name="QB_ROW_44240" localSheetId="0" hidden="1">'DRAFT 2022-2023 Budget  '!$E$74</definedName>
    <definedName name="QB_ROW_45340" localSheetId="0" hidden="1">'DRAFT 2022-2023 Budget  '!$E$75</definedName>
    <definedName name="QB_ROW_55040" localSheetId="0" hidden="1">'DRAFT 2022-2023 Budget  '!$E$30</definedName>
    <definedName name="QB_ROW_55250" localSheetId="0" hidden="1">'DRAFT 2022-2023 Budget  '!$F$31</definedName>
    <definedName name="QB_ROW_55340" localSheetId="0" hidden="1">'DRAFT 2022-2023 Budget  '!$E$32</definedName>
    <definedName name="QB_ROW_56240" localSheetId="0" hidden="1">'DRAFT 2022-2023 Budget  '!#REF!</definedName>
    <definedName name="QB_ROW_57240" localSheetId="0" hidden="1">'DRAFT 2022-2023 Budget  '!$E$43</definedName>
    <definedName name="QB_ROW_58240" localSheetId="0" hidden="1">'DRAFT 2022-2023 Budget  '!$E$63</definedName>
    <definedName name="QB_ROW_59240" localSheetId="0" hidden="1">'DRAFT 2022-2023 Budget  '!$E$64</definedName>
    <definedName name="QB_ROW_60240" localSheetId="0" hidden="1">'DRAFT 2022-2023 Budget  '!$E$66</definedName>
    <definedName name="QB_ROW_61030" localSheetId="0" hidden="1">'DRAFT 2022-2023 Budget  '!$D$23</definedName>
    <definedName name="QB_ROW_61330" localSheetId="0" hidden="1">'DRAFT 2022-2023 Budget  '!$D$28</definedName>
    <definedName name="QB_ROW_62240" localSheetId="0" hidden="1">'DRAFT 2022-2023 Budget  '!$E$25</definedName>
    <definedName name="QB_ROW_66250" localSheetId="0" hidden="1">'DRAFT 2022-2023 Budget  '!#REF!</definedName>
    <definedName name="QBCANSUPPORTUPDATE" localSheetId="0">TRUE</definedName>
    <definedName name="QBCOMPANYFILENAME" localSheetId="0">"C:\Users\Public\Documents\Intuit\QuickBooks\Company Files\OCCOG.QBW"</definedName>
    <definedName name="QBENDDATE" localSheetId="0">20150630</definedName>
    <definedName name="QBHEADERSONSCREEN" localSheetId="0">FALSE</definedName>
    <definedName name="QBMETADATASIZE" localSheetId="0">5802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"8357e2811db649c5b87554c22e35a9be"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20140701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20" l="1"/>
  <c r="F3" i="20"/>
  <c r="F4" i="20"/>
  <c r="F5" i="20"/>
  <c r="F6" i="20"/>
  <c r="F11" i="20" s="1"/>
  <c r="F7" i="20"/>
  <c r="F8" i="20"/>
  <c r="F9" i="20"/>
  <c r="F10" i="20"/>
  <c r="E11" i="20"/>
  <c r="D11" i="20"/>
  <c r="C11" i="20"/>
  <c r="B11" i="20"/>
  <c r="H56" i="8"/>
  <c r="W67" i="8"/>
  <c r="U67" i="8"/>
  <c r="M67" i="8"/>
  <c r="J67" i="8"/>
  <c r="H67" i="8"/>
  <c r="U56" i="8"/>
  <c r="J56" i="8"/>
  <c r="W44" i="8"/>
  <c r="H28" i="8"/>
  <c r="H78" i="8" s="1"/>
  <c r="H79" i="8" s="1"/>
  <c r="H16" i="8"/>
  <c r="M71" i="8"/>
  <c r="M72" i="8" s="1"/>
  <c r="M61" i="8"/>
  <c r="M55" i="8"/>
  <c r="M52" i="8"/>
  <c r="M56" i="8" s="1"/>
  <c r="M43" i="8"/>
  <c r="M34" i="8"/>
  <c r="M8" i="8"/>
  <c r="M16" i="8"/>
  <c r="M20" i="8"/>
  <c r="M28" i="8"/>
  <c r="M32" i="8"/>
  <c r="M44" i="8" s="1"/>
  <c r="M77" i="8"/>
  <c r="H32" i="8"/>
  <c r="H44" i="8" s="1"/>
  <c r="H81" i="8" s="1"/>
  <c r="H86" i="8" s="1"/>
  <c r="H72" i="8"/>
  <c r="H77" i="8"/>
  <c r="B7" i="19"/>
  <c r="J14" i="8"/>
  <c r="J16" i="8" s="1"/>
  <c r="J20" i="8" s="1"/>
  <c r="J8" i="8"/>
  <c r="B11" i="19"/>
  <c r="B13" i="19" s="1"/>
  <c r="B12" i="19"/>
  <c r="B25" i="19"/>
  <c r="J32" i="8"/>
  <c r="J44" i="8" s="1"/>
  <c r="J72" i="8"/>
  <c r="J77" i="8"/>
  <c r="B4" i="13"/>
  <c r="B6" i="13"/>
  <c r="B11" i="13" s="1"/>
  <c r="J84" i="8" s="1"/>
  <c r="B9" i="13"/>
  <c r="H8" i="8"/>
  <c r="H20" i="8" s="1"/>
  <c r="H21" i="8"/>
  <c r="H83" i="8" s="1"/>
  <c r="H80" i="8"/>
  <c r="C48" i="18"/>
  <c r="D7" i="18" s="1"/>
  <c r="J55" i="18"/>
  <c r="K53" i="18"/>
  <c r="H58" i="18" s="1"/>
  <c r="G48" i="18"/>
  <c r="H57" i="18" s="1"/>
  <c r="D9" i="18"/>
  <c r="D11" i="18"/>
  <c r="D13" i="18"/>
  <c r="D15" i="18"/>
  <c r="D17" i="18"/>
  <c r="D19" i="18"/>
  <c r="D21" i="18"/>
  <c r="D23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H41" i="18"/>
  <c r="R41" i="18" s="1"/>
  <c r="H42" i="18"/>
  <c r="S42" i="18" s="1"/>
  <c r="R42" i="18"/>
  <c r="H43" i="18"/>
  <c r="R43" i="18"/>
  <c r="H44" i="18"/>
  <c r="R44" i="18"/>
  <c r="H45" i="18"/>
  <c r="R45" i="18" s="1"/>
  <c r="R46" i="18"/>
  <c r="S46" i="18"/>
  <c r="S45" i="18"/>
  <c r="S44" i="18"/>
  <c r="S43" i="18"/>
  <c r="W28" i="8"/>
  <c r="W32" i="8"/>
  <c r="W72" i="8"/>
  <c r="W77" i="8"/>
  <c r="W86" i="8" s="1"/>
  <c r="U28" i="8"/>
  <c r="U32" i="8"/>
  <c r="U44" i="8" s="1"/>
  <c r="U78" i="8" s="1"/>
  <c r="U79" i="8" s="1"/>
  <c r="U72" i="8"/>
  <c r="U77" i="8"/>
  <c r="J18" i="8"/>
  <c r="Q57" i="18"/>
  <c r="Q48" i="18"/>
  <c r="C51" i="18"/>
  <c r="L45" i="18" s="1"/>
  <c r="F48" i="18"/>
  <c r="O47" i="18"/>
  <c r="L43" i="18"/>
  <c r="L42" i="18"/>
  <c r="L40" i="18"/>
  <c r="I40" i="18"/>
  <c r="L39" i="18"/>
  <c r="I39" i="18"/>
  <c r="L38" i="18"/>
  <c r="I38" i="18"/>
  <c r="L37" i="18"/>
  <c r="I37" i="18"/>
  <c r="L36" i="18"/>
  <c r="I36" i="18"/>
  <c r="L35" i="18"/>
  <c r="I35" i="18"/>
  <c r="L34" i="18"/>
  <c r="I34" i="18"/>
  <c r="L33" i="18"/>
  <c r="I33" i="18"/>
  <c r="L32" i="18"/>
  <c r="I32" i="18"/>
  <c r="L31" i="18"/>
  <c r="I31" i="18"/>
  <c r="L30" i="18"/>
  <c r="I30" i="18"/>
  <c r="L29" i="18"/>
  <c r="I29" i="18"/>
  <c r="L28" i="18"/>
  <c r="I28" i="18"/>
  <c r="L27" i="18"/>
  <c r="I27" i="18"/>
  <c r="L26" i="18"/>
  <c r="I26" i="18"/>
  <c r="L25" i="18"/>
  <c r="I25" i="18"/>
  <c r="L24" i="18"/>
  <c r="I24" i="18"/>
  <c r="L23" i="18"/>
  <c r="I23" i="18"/>
  <c r="L22" i="18"/>
  <c r="I22" i="18"/>
  <c r="L21" i="18"/>
  <c r="I21" i="18"/>
  <c r="L20" i="18"/>
  <c r="I20" i="18"/>
  <c r="L19" i="18"/>
  <c r="I19" i="18"/>
  <c r="L18" i="18"/>
  <c r="I18" i="18"/>
  <c r="L17" i="18"/>
  <c r="I17" i="18"/>
  <c r="L16" i="18"/>
  <c r="I16" i="18"/>
  <c r="L15" i="18"/>
  <c r="I15" i="18"/>
  <c r="L14" i="18"/>
  <c r="I14" i="18"/>
  <c r="L13" i="18"/>
  <c r="I13" i="18"/>
  <c r="L12" i="18"/>
  <c r="I12" i="18"/>
  <c r="L11" i="18"/>
  <c r="I11" i="18"/>
  <c r="L10" i="18"/>
  <c r="I10" i="18"/>
  <c r="L9" i="18"/>
  <c r="I9" i="18"/>
  <c r="L8" i="18"/>
  <c r="I8" i="18"/>
  <c r="L7" i="18"/>
  <c r="I7" i="18"/>
  <c r="Y32" i="8"/>
  <c r="Y44" i="8"/>
  <c r="Y68" i="8"/>
  <c r="Y73" i="8"/>
  <c r="Y78" i="8"/>
  <c r="Y87" i="8"/>
  <c r="W84" i="8"/>
  <c r="Y8" i="8"/>
  <c r="Y20" i="8" s="1"/>
  <c r="Y84" i="8" s="1"/>
  <c r="Y16" i="8"/>
  <c r="Y28" i="8"/>
  <c r="Y57" i="8"/>
  <c r="Y79" i="8"/>
  <c r="W8" i="8"/>
  <c r="W21" i="8" s="1"/>
  <c r="W16" i="8"/>
  <c r="K8" i="8"/>
  <c r="K21" i="8"/>
  <c r="K32" i="8"/>
  <c r="K44" i="8"/>
  <c r="K81" i="8" s="1"/>
  <c r="K86" i="8" s="1"/>
  <c r="K67" i="8"/>
  <c r="K72" i="8"/>
  <c r="K77" i="8"/>
  <c r="J80" i="8"/>
  <c r="K28" i="8"/>
  <c r="K78" i="8" s="1"/>
  <c r="K79" i="8" s="1"/>
  <c r="K56" i="8"/>
  <c r="K16" i="8"/>
  <c r="K20" i="8"/>
  <c r="C48" i="16"/>
  <c r="D8" i="16" s="1"/>
  <c r="C42" i="17"/>
  <c r="D7" i="17"/>
  <c r="E7" i="17" s="1"/>
  <c r="G51" i="17"/>
  <c r="G50" i="17" s="1"/>
  <c r="G49" i="17"/>
  <c r="F12" i="17" s="1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F7" i="17"/>
  <c r="F9" i="17"/>
  <c r="F11" i="17"/>
  <c r="F13" i="17"/>
  <c r="F15" i="17"/>
  <c r="F17" i="17"/>
  <c r="F19" i="17"/>
  <c r="F21" i="17"/>
  <c r="F23" i="17"/>
  <c r="F25" i="17"/>
  <c r="F27" i="17"/>
  <c r="F29" i="17"/>
  <c r="F31" i="17"/>
  <c r="F33" i="17"/>
  <c r="F35" i="17"/>
  <c r="F37" i="17"/>
  <c r="F39" i="17"/>
  <c r="F57" i="17"/>
  <c r="F58" i="17"/>
  <c r="E57" i="17"/>
  <c r="E58" i="17"/>
  <c r="C44" i="17"/>
  <c r="C45" i="17"/>
  <c r="I44" i="17" s="1"/>
  <c r="I43" i="17"/>
  <c r="I42" i="17"/>
  <c r="D42" i="17"/>
  <c r="M41" i="17"/>
  <c r="M40" i="17"/>
  <c r="J40" i="17"/>
  <c r="M39" i="17"/>
  <c r="J39" i="17"/>
  <c r="M38" i="17"/>
  <c r="J38" i="17"/>
  <c r="M37" i="17"/>
  <c r="J37" i="17"/>
  <c r="M36" i="17"/>
  <c r="J36" i="17"/>
  <c r="M35" i="17"/>
  <c r="J35" i="17"/>
  <c r="M34" i="17"/>
  <c r="J34" i="17"/>
  <c r="M33" i="17"/>
  <c r="J33" i="17"/>
  <c r="M32" i="17"/>
  <c r="J32" i="17"/>
  <c r="M31" i="17"/>
  <c r="J31" i="17"/>
  <c r="M30" i="17"/>
  <c r="J30" i="17"/>
  <c r="M29" i="17"/>
  <c r="J29" i="17"/>
  <c r="M28" i="17"/>
  <c r="J28" i="17"/>
  <c r="M27" i="17"/>
  <c r="J27" i="17"/>
  <c r="M26" i="17"/>
  <c r="J26" i="17"/>
  <c r="M25" i="17"/>
  <c r="J25" i="17"/>
  <c r="M24" i="17"/>
  <c r="J24" i="17"/>
  <c r="M23" i="17"/>
  <c r="J23" i="17"/>
  <c r="M22" i="17"/>
  <c r="J22" i="17"/>
  <c r="M21" i="17"/>
  <c r="J21" i="17"/>
  <c r="M20" i="17"/>
  <c r="J20" i="17"/>
  <c r="M19" i="17"/>
  <c r="J19" i="17"/>
  <c r="M18" i="17"/>
  <c r="J18" i="17"/>
  <c r="M17" i="17"/>
  <c r="J17" i="17"/>
  <c r="M16" i="17"/>
  <c r="J16" i="17"/>
  <c r="M15" i="17"/>
  <c r="J15" i="17"/>
  <c r="M14" i="17"/>
  <c r="J14" i="17"/>
  <c r="M13" i="17"/>
  <c r="J13" i="17"/>
  <c r="M12" i="17"/>
  <c r="J12" i="17"/>
  <c r="M11" i="17"/>
  <c r="J11" i="17"/>
  <c r="M10" i="17"/>
  <c r="J10" i="17"/>
  <c r="M9" i="17"/>
  <c r="J9" i="17"/>
  <c r="M8" i="17"/>
  <c r="J8" i="17"/>
  <c r="M7" i="17"/>
  <c r="J7" i="17"/>
  <c r="J55" i="16"/>
  <c r="K53" i="16" s="1"/>
  <c r="H58" i="16" s="1"/>
  <c r="G41" i="16"/>
  <c r="G42" i="16"/>
  <c r="H42" i="16" s="1"/>
  <c r="G43" i="16"/>
  <c r="G44" i="16"/>
  <c r="H44" i="16" s="1"/>
  <c r="G45" i="16"/>
  <c r="G46" i="16"/>
  <c r="H46" i="16" s="1"/>
  <c r="H41" i="16"/>
  <c r="H43" i="16"/>
  <c r="H45" i="16"/>
  <c r="O47" i="16"/>
  <c r="L42" i="16"/>
  <c r="L40" i="16"/>
  <c r="I40" i="16"/>
  <c r="L39" i="16"/>
  <c r="I39" i="16"/>
  <c r="L38" i="16"/>
  <c r="I38" i="16"/>
  <c r="L37" i="16"/>
  <c r="I37" i="16"/>
  <c r="L36" i="16"/>
  <c r="I36" i="16"/>
  <c r="L35" i="16"/>
  <c r="I35" i="16"/>
  <c r="L34" i="16"/>
  <c r="I34" i="16"/>
  <c r="L33" i="16"/>
  <c r="I33" i="16"/>
  <c r="L32" i="16"/>
  <c r="I32" i="16"/>
  <c r="L31" i="16"/>
  <c r="I31" i="16"/>
  <c r="L30" i="16"/>
  <c r="I30" i="16"/>
  <c r="L29" i="16"/>
  <c r="I29" i="16"/>
  <c r="L28" i="16"/>
  <c r="I28" i="16"/>
  <c r="L27" i="16"/>
  <c r="I27" i="16"/>
  <c r="L26" i="16"/>
  <c r="I26" i="16"/>
  <c r="L25" i="16"/>
  <c r="I25" i="16"/>
  <c r="L24" i="16"/>
  <c r="I24" i="16"/>
  <c r="L23" i="16"/>
  <c r="I23" i="16"/>
  <c r="L22" i="16"/>
  <c r="I22" i="16"/>
  <c r="L21" i="16"/>
  <c r="I21" i="16"/>
  <c r="L20" i="16"/>
  <c r="I20" i="16"/>
  <c r="L19" i="16"/>
  <c r="I19" i="16"/>
  <c r="L18" i="16"/>
  <c r="I18" i="16"/>
  <c r="L17" i="16"/>
  <c r="I17" i="16"/>
  <c r="L16" i="16"/>
  <c r="I16" i="16"/>
  <c r="L15" i="16"/>
  <c r="I15" i="16"/>
  <c r="L14" i="16"/>
  <c r="I14" i="16"/>
  <c r="L13" i="16"/>
  <c r="I13" i="16"/>
  <c r="L12" i="16"/>
  <c r="I12" i="16"/>
  <c r="L11" i="16"/>
  <c r="I11" i="16"/>
  <c r="L10" i="16"/>
  <c r="I10" i="16"/>
  <c r="L9" i="16"/>
  <c r="I9" i="16"/>
  <c r="L8" i="16"/>
  <c r="I8" i="16"/>
  <c r="L7" i="16"/>
  <c r="I7" i="16"/>
  <c r="D18" i="12"/>
  <c r="B18" i="12"/>
  <c r="D9" i="12"/>
  <c r="B9" i="12"/>
  <c r="O7" i="8"/>
  <c r="U8" i="8"/>
  <c r="U21" i="8"/>
  <c r="U16" i="8"/>
  <c r="U20" i="8"/>
  <c r="O35" i="8"/>
  <c r="M21" i="8"/>
  <c r="O75" i="8"/>
  <c r="O76" i="8"/>
  <c r="O74" i="8"/>
  <c r="O70" i="8"/>
  <c r="O71" i="8"/>
  <c r="O69" i="8"/>
  <c r="O66" i="8"/>
  <c r="O59" i="8"/>
  <c r="Q59" i="8" s="1"/>
  <c r="O60" i="8"/>
  <c r="O61" i="8"/>
  <c r="O62" i="8"/>
  <c r="O63" i="8"/>
  <c r="Q63" i="8" s="1"/>
  <c r="O64" i="8"/>
  <c r="O65" i="8"/>
  <c r="S65" i="8" s="1"/>
  <c r="O58" i="8"/>
  <c r="S58" i="8" s="1"/>
  <c r="O48" i="8"/>
  <c r="O49" i="8"/>
  <c r="O50" i="8"/>
  <c r="O51" i="8"/>
  <c r="O52" i="8"/>
  <c r="O53" i="8"/>
  <c r="O54" i="8"/>
  <c r="O55" i="8"/>
  <c r="O47" i="8"/>
  <c r="Q47" i="8" s="1"/>
  <c r="O43" i="8"/>
  <c r="O36" i="8"/>
  <c r="Q36" i="8" s="1"/>
  <c r="O37" i="8"/>
  <c r="O38" i="8"/>
  <c r="O39" i="8"/>
  <c r="O40" i="8"/>
  <c r="S40" i="8" s="1"/>
  <c r="O41" i="8"/>
  <c r="O42" i="8"/>
  <c r="Q42" i="8" s="1"/>
  <c r="O31" i="8"/>
  <c r="O25" i="8"/>
  <c r="O26" i="8"/>
  <c r="O24" i="8"/>
  <c r="O18" i="8"/>
  <c r="O12" i="8"/>
  <c r="O13" i="8"/>
  <c r="O14" i="8"/>
  <c r="S14" i="8" s="1"/>
  <c r="K80" i="8"/>
  <c r="Q28" i="8"/>
  <c r="O8" i="8"/>
  <c r="O32" i="8"/>
  <c r="S67" i="8"/>
  <c r="Q77" i="8"/>
  <c r="Q75" i="8"/>
  <c r="Q74" i="8"/>
  <c r="Q56" i="8"/>
  <c r="Q39" i="8"/>
  <c r="Q38" i="8"/>
  <c r="Q37" i="8"/>
  <c r="Q35" i="8"/>
  <c r="Q26" i="8"/>
  <c r="Q24" i="8"/>
  <c r="Q25" i="8"/>
  <c r="Q11" i="8"/>
  <c r="Q76" i="8"/>
  <c r="Q71" i="8"/>
  <c r="Q60" i="8"/>
  <c r="Q61" i="8"/>
  <c r="Q62" i="8"/>
  <c r="Q64" i="8"/>
  <c r="Q66" i="8"/>
  <c r="Q58" i="8"/>
  <c r="Q43" i="8"/>
  <c r="Q41" i="8"/>
  <c r="Q65" i="8"/>
  <c r="Q31" i="8"/>
  <c r="Q13" i="8"/>
  <c r="I7" i="11"/>
  <c r="I33" i="11"/>
  <c r="H7" i="11"/>
  <c r="H33" i="11"/>
  <c r="G7" i="11"/>
  <c r="G33" i="11"/>
  <c r="F7" i="11"/>
  <c r="F33" i="11"/>
  <c r="E33" i="11"/>
  <c r="B7" i="11"/>
  <c r="C12" i="11"/>
  <c r="C13" i="11"/>
  <c r="C14" i="11" s="1"/>
  <c r="C31" i="11" s="1"/>
  <c r="C7" i="11"/>
  <c r="D7" i="11"/>
  <c r="E12" i="11"/>
  <c r="E14" i="11" s="1"/>
  <c r="E13" i="11"/>
  <c r="D12" i="11"/>
  <c r="D13" i="11"/>
  <c r="B12" i="11"/>
  <c r="G21" i="8"/>
  <c r="G56" i="8"/>
  <c r="S35" i="8"/>
  <c r="S11" i="8"/>
  <c r="G8" i="8"/>
  <c r="G16" i="8"/>
  <c r="G20" i="8"/>
  <c r="G83" i="8" s="1"/>
  <c r="G85" i="8" s="1"/>
  <c r="G78" i="8"/>
  <c r="G77" i="8"/>
  <c r="G72" i="8"/>
  <c r="G67" i="8"/>
  <c r="G32" i="8"/>
  <c r="G44" i="8"/>
  <c r="G26" i="8"/>
  <c r="G28" i="8"/>
  <c r="S39" i="8"/>
  <c r="S37" i="8"/>
  <c r="S25" i="8"/>
  <c r="S38" i="8"/>
  <c r="S7" i="8"/>
  <c r="S76" i="8"/>
  <c r="S75" i="8"/>
  <c r="S74" i="8"/>
  <c r="S71" i="8"/>
  <c r="S66" i="8"/>
  <c r="S64" i="8"/>
  <c r="S62" i="8"/>
  <c r="S61" i="8"/>
  <c r="S60" i="8"/>
  <c r="S43" i="8"/>
  <c r="S42" i="8"/>
  <c r="S41" i="8"/>
  <c r="S31" i="8"/>
  <c r="S26" i="8"/>
  <c r="S18" i="8"/>
  <c r="S15" i="8"/>
  <c r="S13" i="8"/>
  <c r="S12" i="8"/>
  <c r="S28" i="8"/>
  <c r="S32" i="8"/>
  <c r="Q32" i="8"/>
  <c r="S77" i="8"/>
  <c r="S56" i="8"/>
  <c r="Q67" i="8"/>
  <c r="S44" i="8"/>
  <c r="S20" i="8"/>
  <c r="Q20" i="8"/>
  <c r="D14" i="11"/>
  <c r="D31" i="11" s="1"/>
  <c r="D33" i="11"/>
  <c r="O83" i="8"/>
  <c r="G7" i="17" l="1"/>
  <c r="B14" i="11"/>
  <c r="B31" i="11" s="1"/>
  <c r="B33" i="11" s="1"/>
  <c r="B13" i="11"/>
  <c r="Q12" i="8"/>
  <c r="O16" i="8"/>
  <c r="K83" i="8"/>
  <c r="Q44" i="8"/>
  <c r="M78" i="8"/>
  <c r="M81" i="8"/>
  <c r="M86" i="8" s="1"/>
  <c r="C33" i="11"/>
  <c r="E8" i="17"/>
  <c r="E12" i="17"/>
  <c r="G12" i="17" s="1"/>
  <c r="P12" i="17" s="1"/>
  <c r="E16" i="17"/>
  <c r="E20" i="17"/>
  <c r="E24" i="17"/>
  <c r="E28" i="17"/>
  <c r="E32" i="17"/>
  <c r="G32" i="17" s="1"/>
  <c r="P32" i="17" s="1"/>
  <c r="E36" i="17"/>
  <c r="E40" i="17"/>
  <c r="E9" i="17"/>
  <c r="G9" i="17" s="1"/>
  <c r="P9" i="17" s="1"/>
  <c r="E13" i="17"/>
  <c r="G13" i="17" s="1"/>
  <c r="P13" i="17" s="1"/>
  <c r="E17" i="17"/>
  <c r="G17" i="17" s="1"/>
  <c r="P17" i="17" s="1"/>
  <c r="E21" i="17"/>
  <c r="G21" i="17" s="1"/>
  <c r="P21" i="17" s="1"/>
  <c r="E25" i="17"/>
  <c r="G25" i="17" s="1"/>
  <c r="P25" i="17" s="1"/>
  <c r="E29" i="17"/>
  <c r="G29" i="17" s="1"/>
  <c r="P29" i="17" s="1"/>
  <c r="E33" i="17"/>
  <c r="G33" i="17" s="1"/>
  <c r="P33" i="17" s="1"/>
  <c r="E37" i="17"/>
  <c r="G37" i="17" s="1"/>
  <c r="P37" i="17" s="1"/>
  <c r="E10" i="17"/>
  <c r="G10" i="17" s="1"/>
  <c r="P10" i="17" s="1"/>
  <c r="E14" i="17"/>
  <c r="E18" i="17"/>
  <c r="E22" i="17"/>
  <c r="G22" i="17" s="1"/>
  <c r="P22" i="17" s="1"/>
  <c r="E26" i="17"/>
  <c r="E30" i="17"/>
  <c r="E34" i="17"/>
  <c r="E38" i="17"/>
  <c r="E11" i="17"/>
  <c r="G11" i="17" s="1"/>
  <c r="P11" i="17" s="1"/>
  <c r="E15" i="17"/>
  <c r="G15" i="17" s="1"/>
  <c r="P15" i="17" s="1"/>
  <c r="E19" i="17"/>
  <c r="G19" i="17" s="1"/>
  <c r="P19" i="17" s="1"/>
  <c r="E23" i="17"/>
  <c r="G23" i="17" s="1"/>
  <c r="P23" i="17" s="1"/>
  <c r="E27" i="17"/>
  <c r="G27" i="17" s="1"/>
  <c r="P27" i="17" s="1"/>
  <c r="E31" i="17"/>
  <c r="G31" i="17" s="1"/>
  <c r="P31" i="17" s="1"/>
  <c r="E35" i="17"/>
  <c r="G35" i="17" s="1"/>
  <c r="P35" i="17" s="1"/>
  <c r="E39" i="17"/>
  <c r="G39" i="17" s="1"/>
  <c r="P39" i="17" s="1"/>
  <c r="H55" i="18"/>
  <c r="H56" i="18" s="1"/>
  <c r="S72" i="8"/>
  <c r="Q72" i="8"/>
  <c r="D39" i="16"/>
  <c r="D37" i="16"/>
  <c r="D35" i="16"/>
  <c r="D33" i="16"/>
  <c r="D31" i="16"/>
  <c r="D29" i="16"/>
  <c r="D27" i="16"/>
  <c r="D25" i="16"/>
  <c r="D23" i="16"/>
  <c r="D21" i="16"/>
  <c r="D19" i="16"/>
  <c r="D17" i="16"/>
  <c r="D15" i="16"/>
  <c r="D13" i="16"/>
  <c r="D11" i="16"/>
  <c r="D9" i="16"/>
  <c r="D7" i="16"/>
  <c r="S63" i="8"/>
  <c r="Q40" i="8"/>
  <c r="Q14" i="8"/>
  <c r="C51" i="16"/>
  <c r="L45" i="16" s="1"/>
  <c r="F34" i="17"/>
  <c r="F26" i="17"/>
  <c r="F18" i="17"/>
  <c r="F10" i="17"/>
  <c r="J21" i="8"/>
  <c r="D24" i="18"/>
  <c r="D22" i="18"/>
  <c r="D20" i="18"/>
  <c r="D18" i="18"/>
  <c r="D16" i="18"/>
  <c r="D14" i="18"/>
  <c r="D12" i="18"/>
  <c r="D10" i="18"/>
  <c r="D8" i="18"/>
  <c r="F40" i="17"/>
  <c r="F32" i="17"/>
  <c r="F24" i="17"/>
  <c r="F16" i="17"/>
  <c r="F8" i="17"/>
  <c r="W78" i="8"/>
  <c r="W83" i="8" s="1"/>
  <c r="L43" i="16"/>
  <c r="D40" i="16"/>
  <c r="D38" i="16"/>
  <c r="D36" i="16"/>
  <c r="D34" i="16"/>
  <c r="D32" i="16"/>
  <c r="D30" i="16"/>
  <c r="D28" i="16"/>
  <c r="D26" i="16"/>
  <c r="D24" i="16"/>
  <c r="D22" i="16"/>
  <c r="D20" i="16"/>
  <c r="D18" i="16"/>
  <c r="D16" i="16"/>
  <c r="D14" i="16"/>
  <c r="D12" i="16"/>
  <c r="D10" i="16"/>
  <c r="S59" i="8"/>
  <c r="S36" i="8"/>
  <c r="G48" i="16"/>
  <c r="H57" i="16" s="1"/>
  <c r="H55" i="16" s="1"/>
  <c r="F38" i="17"/>
  <c r="F30" i="17"/>
  <c r="F22" i="17"/>
  <c r="F14" i="17"/>
  <c r="S41" i="18"/>
  <c r="B14" i="19"/>
  <c r="B27" i="19" s="1"/>
  <c r="F36" i="17"/>
  <c r="F28" i="17"/>
  <c r="F20" i="17"/>
  <c r="E26" i="18" l="1"/>
  <c r="H26" i="18" s="1"/>
  <c r="E28" i="18"/>
  <c r="H28" i="18" s="1"/>
  <c r="E30" i="18"/>
  <c r="H30" i="18" s="1"/>
  <c r="E32" i="18"/>
  <c r="H32" i="18" s="1"/>
  <c r="E34" i="18"/>
  <c r="H34" i="18" s="1"/>
  <c r="E36" i="18"/>
  <c r="H36" i="18" s="1"/>
  <c r="E38" i="18"/>
  <c r="H38" i="18" s="1"/>
  <c r="E40" i="18"/>
  <c r="H40" i="18" s="1"/>
  <c r="E29" i="18"/>
  <c r="H29" i="18" s="1"/>
  <c r="E11" i="18"/>
  <c r="H11" i="18" s="1"/>
  <c r="E9" i="18"/>
  <c r="H9" i="18" s="1"/>
  <c r="E39" i="18"/>
  <c r="H39" i="18" s="1"/>
  <c r="E13" i="18"/>
  <c r="H13" i="18" s="1"/>
  <c r="E17" i="18"/>
  <c r="H17" i="18" s="1"/>
  <c r="E25" i="18"/>
  <c r="H25" i="18" s="1"/>
  <c r="E7" i="18"/>
  <c r="E31" i="18"/>
  <c r="H31" i="18" s="1"/>
  <c r="E37" i="18"/>
  <c r="H37" i="18" s="1"/>
  <c r="E19" i="18"/>
  <c r="H19" i="18" s="1"/>
  <c r="E21" i="18"/>
  <c r="H21" i="18" s="1"/>
  <c r="E35" i="18"/>
  <c r="H35" i="18" s="1"/>
  <c r="E23" i="18"/>
  <c r="H23" i="18" s="1"/>
  <c r="E27" i="18"/>
  <c r="H27" i="18" s="1"/>
  <c r="E33" i="18"/>
  <c r="H33" i="18" s="1"/>
  <c r="E15" i="18"/>
  <c r="H15" i="18" s="1"/>
  <c r="F7" i="16"/>
  <c r="F9" i="16"/>
  <c r="F11" i="16"/>
  <c r="F13" i="16"/>
  <c r="F15" i="16"/>
  <c r="F17" i="16"/>
  <c r="F19" i="16"/>
  <c r="F21" i="16"/>
  <c r="F23" i="16"/>
  <c r="F25" i="16"/>
  <c r="F27" i="16"/>
  <c r="F29" i="16"/>
  <c r="F31" i="16"/>
  <c r="F33" i="16"/>
  <c r="F35" i="16"/>
  <c r="F37" i="16"/>
  <c r="F39" i="16"/>
  <c r="F8" i="16"/>
  <c r="F10" i="16"/>
  <c r="F12" i="16"/>
  <c r="F14" i="16"/>
  <c r="F16" i="16"/>
  <c r="F18" i="16"/>
  <c r="F20" i="16"/>
  <c r="F22" i="16"/>
  <c r="F24" i="16"/>
  <c r="F26" i="16"/>
  <c r="F28" i="16"/>
  <c r="F30" i="16"/>
  <c r="F32" i="16"/>
  <c r="F34" i="16"/>
  <c r="F36" i="16"/>
  <c r="F38" i="16"/>
  <c r="F40" i="16"/>
  <c r="H56" i="16"/>
  <c r="E8" i="16" s="1"/>
  <c r="H8" i="16" s="1"/>
  <c r="E18" i="16"/>
  <c r="E34" i="16"/>
  <c r="E18" i="18"/>
  <c r="H18" i="18" s="1"/>
  <c r="E13" i="16"/>
  <c r="H13" i="16" s="1"/>
  <c r="G26" i="17"/>
  <c r="P26" i="17" s="1"/>
  <c r="G28" i="17"/>
  <c r="P28" i="17" s="1"/>
  <c r="E32" i="16"/>
  <c r="H32" i="16" s="1"/>
  <c r="E20" i="16"/>
  <c r="H20" i="16" s="1"/>
  <c r="E20" i="18"/>
  <c r="H20" i="18" s="1"/>
  <c r="E31" i="16"/>
  <c r="G24" i="17"/>
  <c r="P24" i="17" s="1"/>
  <c r="E38" i="16"/>
  <c r="H38" i="16" s="1"/>
  <c r="E22" i="18"/>
  <c r="H22" i="18" s="1"/>
  <c r="E17" i="16"/>
  <c r="H17" i="16" s="1"/>
  <c r="E33" i="16"/>
  <c r="H33" i="16" s="1"/>
  <c r="G18" i="17"/>
  <c r="P18" i="17" s="1"/>
  <c r="G20" i="17"/>
  <c r="P20" i="17" s="1"/>
  <c r="M83" i="8"/>
  <c r="E27" i="16"/>
  <c r="H27" i="16" s="1"/>
  <c r="E15" i="16"/>
  <c r="J26" i="8"/>
  <c r="B29" i="19"/>
  <c r="E24" i="16"/>
  <c r="H24" i="16" s="1"/>
  <c r="E40" i="16"/>
  <c r="H40" i="16" s="1"/>
  <c r="E8" i="18"/>
  <c r="H8" i="18" s="1"/>
  <c r="E24" i="18"/>
  <c r="H24" i="18" s="1"/>
  <c r="E19" i="16"/>
  <c r="H19" i="16" s="1"/>
  <c r="E35" i="16"/>
  <c r="G14" i="17"/>
  <c r="P14" i="17" s="1"/>
  <c r="G16" i="17"/>
  <c r="P16" i="17" s="1"/>
  <c r="D48" i="18"/>
  <c r="E11" i="16"/>
  <c r="H11" i="16" s="1"/>
  <c r="E10" i="16"/>
  <c r="H10" i="16" s="1"/>
  <c r="Q78" i="8"/>
  <c r="Q83" i="8" s="1"/>
  <c r="M79" i="8"/>
  <c r="S78" i="8"/>
  <c r="S16" i="8"/>
  <c r="Q16" i="8"/>
  <c r="G42" i="17"/>
  <c r="I53" i="17" s="1"/>
  <c r="P7" i="17"/>
  <c r="E16" i="18"/>
  <c r="H16" i="18" s="1"/>
  <c r="G30" i="17"/>
  <c r="P30" i="17" s="1"/>
  <c r="E37" i="16"/>
  <c r="H37" i="16" s="1"/>
  <c r="E12" i="16"/>
  <c r="H12" i="16" s="1"/>
  <c r="E28" i="16"/>
  <c r="H28" i="16" s="1"/>
  <c r="E12" i="18"/>
  <c r="H12" i="18" s="1"/>
  <c r="E7" i="16"/>
  <c r="D48" i="16"/>
  <c r="E23" i="16"/>
  <c r="H23" i="16" s="1"/>
  <c r="E39" i="16"/>
  <c r="G38" i="17"/>
  <c r="P38" i="17" s="1"/>
  <c r="G40" i="17"/>
  <c r="P40" i="17" s="1"/>
  <c r="G8" i="17"/>
  <c r="P8" i="17" s="1"/>
  <c r="E60" i="17"/>
  <c r="E36" i="16"/>
  <c r="H36" i="16" s="1"/>
  <c r="E26" i="16"/>
  <c r="H26" i="16" s="1"/>
  <c r="E10" i="18"/>
  <c r="H10" i="18" s="1"/>
  <c r="E21" i="16"/>
  <c r="H21" i="16" s="1"/>
  <c r="E14" i="16"/>
  <c r="E30" i="16"/>
  <c r="F60" i="17"/>
  <c r="F61" i="17" s="1"/>
  <c r="F42" i="17"/>
  <c r="E14" i="18"/>
  <c r="H14" i="18" s="1"/>
  <c r="E9" i="16"/>
  <c r="H9" i="16" s="1"/>
  <c r="E25" i="16"/>
  <c r="H25" i="16" s="1"/>
  <c r="G34" i="17"/>
  <c r="P34" i="17" s="1"/>
  <c r="G36" i="17"/>
  <c r="P36" i="17" s="1"/>
  <c r="E42" i="17"/>
  <c r="R10" i="18" l="1"/>
  <c r="S10" i="18"/>
  <c r="R8" i="18"/>
  <c r="S8" i="18"/>
  <c r="M85" i="8"/>
  <c r="S83" i="8"/>
  <c r="S33" i="18"/>
  <c r="R33" i="18"/>
  <c r="H7" i="18"/>
  <c r="E48" i="18"/>
  <c r="R40" i="18"/>
  <c r="S40" i="18"/>
  <c r="R14" i="18"/>
  <c r="S14" i="18"/>
  <c r="H31" i="16"/>
  <c r="R18" i="18"/>
  <c r="S18" i="18"/>
  <c r="S27" i="18"/>
  <c r="R27" i="18"/>
  <c r="S25" i="18"/>
  <c r="R25" i="18"/>
  <c r="R38" i="18"/>
  <c r="S38" i="18"/>
  <c r="R16" i="18"/>
  <c r="S16" i="18"/>
  <c r="H7" i="16"/>
  <c r="S17" i="18"/>
  <c r="R17" i="18"/>
  <c r="E61" i="17"/>
  <c r="G60" i="17"/>
  <c r="G61" i="17" s="1"/>
  <c r="R12" i="18"/>
  <c r="S12" i="18"/>
  <c r="H18" i="16"/>
  <c r="S35" i="18"/>
  <c r="R35" i="18"/>
  <c r="R13" i="18"/>
  <c r="S13" i="18"/>
  <c r="R34" i="18"/>
  <c r="S34" i="18"/>
  <c r="R20" i="18"/>
  <c r="S20" i="18"/>
  <c r="R23" i="18"/>
  <c r="S23" i="18"/>
  <c r="J81" i="8"/>
  <c r="J28" i="8"/>
  <c r="J78" i="8" s="1"/>
  <c r="J79" i="8" s="1"/>
  <c r="R21" i="18"/>
  <c r="S21" i="18"/>
  <c r="R39" i="18"/>
  <c r="S39" i="18"/>
  <c r="R32" i="18"/>
  <c r="S32" i="18"/>
  <c r="H34" i="16"/>
  <c r="R36" i="18"/>
  <c r="S36" i="18"/>
  <c r="H30" i="16"/>
  <c r="H14" i="16"/>
  <c r="H35" i="16"/>
  <c r="H15" i="16"/>
  <c r="R22" i="18"/>
  <c r="S22" i="18"/>
  <c r="S19" i="18"/>
  <c r="R19" i="18"/>
  <c r="S9" i="18"/>
  <c r="R9" i="18"/>
  <c r="R30" i="18"/>
  <c r="S30" i="18"/>
  <c r="F48" i="16"/>
  <c r="R37" i="18"/>
  <c r="S37" i="18"/>
  <c r="S11" i="18"/>
  <c r="R11" i="18"/>
  <c r="R28" i="18"/>
  <c r="S28" i="18"/>
  <c r="H39" i="16"/>
  <c r="R24" i="18"/>
  <c r="S24" i="18"/>
  <c r="E16" i="16"/>
  <c r="H16" i="16" s="1"/>
  <c r="E22" i="16"/>
  <c r="H22" i="16" s="1"/>
  <c r="E29" i="16"/>
  <c r="H29" i="16" s="1"/>
  <c r="R15" i="18"/>
  <c r="S15" i="18"/>
  <c r="R31" i="18"/>
  <c r="S31" i="18"/>
  <c r="R29" i="18"/>
  <c r="S29" i="18"/>
  <c r="R26" i="18"/>
  <c r="S26" i="18"/>
  <c r="M87" i="8" l="1"/>
  <c r="Q85" i="8"/>
  <c r="J86" i="8"/>
  <c r="J83" i="8"/>
  <c r="E48" i="16"/>
  <c r="H48" i="16"/>
  <c r="H48" i="18"/>
  <c r="R7" i="18"/>
  <c r="R48" i="18" s="1"/>
  <c r="S7" i="18"/>
  <c r="J82" i="8" l="1"/>
  <c r="J85" i="8" s="1"/>
  <c r="J87" i="8" s="1"/>
  <c r="H82" i="8"/>
  <c r="H85" i="8" s="1"/>
  <c r="H87" i="8" s="1"/>
  <c r="K82" i="8"/>
  <c r="K85" i="8" s="1"/>
  <c r="K87" i="8" s="1"/>
</calcChain>
</file>

<file path=xl/sharedStrings.xml><?xml version="1.0" encoding="utf-8"?>
<sst xmlns="http://schemas.openxmlformats.org/spreadsheetml/2006/main" count="673" uniqueCount="366">
  <si>
    <t>$ Over Budget</t>
  </si>
  <si>
    <t>47200 · Program Income</t>
  </si>
  <si>
    <t>47230 · Membership Dues</t>
  </si>
  <si>
    <t>47240 · CDR Fees</t>
  </si>
  <si>
    <t>Total 47200 · Program Income</t>
  </si>
  <si>
    <t>61000 · Program Expenditures</t>
  </si>
  <si>
    <t>61010 · CDR Fees</t>
  </si>
  <si>
    <t>Total 61000 · Program Expenditures</t>
  </si>
  <si>
    <t>62100 · Contract Services</t>
  </si>
  <si>
    <t>62130 · Legal Services</t>
  </si>
  <si>
    <t>62140 · Accounting/Bookkeeping Svcs</t>
  </si>
  <si>
    <t>62160 · Audit Services</t>
  </si>
  <si>
    <t>Total 62100 · Contract Services</t>
  </si>
  <si>
    <t>65000 · Operations</t>
  </si>
  <si>
    <t>65020 · Postage, Mailing Service</t>
  </si>
  <si>
    <t>65040 · Supplies</t>
  </si>
  <si>
    <t>65060 · CALCOG Dues</t>
  </si>
  <si>
    <t>65070 · Banking Fees</t>
  </si>
  <si>
    <t>65090 · Miscellaneous</t>
  </si>
  <si>
    <t>Total 65000 · Operations</t>
  </si>
  <si>
    <t>65100 · Other Types of Expenses</t>
  </si>
  <si>
    <t>65120 · Insurance - Liability, D and O</t>
  </si>
  <si>
    <t>Total 65100 · Other Types of Expenses</t>
  </si>
  <si>
    <t>68300 · Travel and Meetings</t>
  </si>
  <si>
    <t>Total 68300 · Travel and Meetings</t>
  </si>
  <si>
    <t>Revenues</t>
  </si>
  <si>
    <t>Total Revenues</t>
  </si>
  <si>
    <t>Expenditures</t>
  </si>
  <si>
    <t>Total Expenditures</t>
  </si>
  <si>
    <t>Net Revenues over Expenditures</t>
  </si>
  <si>
    <t>Fund Balance, End of Year</t>
  </si>
  <si>
    <t>Fund Balance, Beginning of Year</t>
  </si>
  <si>
    <t>62110 · Executive Director Services</t>
  </si>
  <si>
    <t>62110 · Exec Dir Services - General</t>
  </si>
  <si>
    <t>Total 62110 · Executive Director Services</t>
  </si>
  <si>
    <t>65050 - Telephone, Telecommunications</t>
  </si>
  <si>
    <t>62125 - Clerk of the Board Services</t>
  </si>
  <si>
    <t>62155 - Website Hosting</t>
  </si>
  <si>
    <t>47250 - General Assembly Revenue</t>
  </si>
  <si>
    <t>61050 - General Assembly Costs</t>
  </si>
  <si>
    <t>65030 - Printing and Copying</t>
  </si>
  <si>
    <t>45000 - Investments</t>
  </si>
  <si>
    <t xml:space="preserve">45030 - Interest </t>
  </si>
  <si>
    <t>Total 45000 · Investments</t>
  </si>
  <si>
    <t>61060 - Citizens Housing Academy</t>
  </si>
  <si>
    <t>62170 · Marketing/Comms Support</t>
  </si>
  <si>
    <t>47260 - Other Program revenue</t>
  </si>
  <si>
    <t>62121 - Administrative Support</t>
  </si>
  <si>
    <t>62122 - Planning Support</t>
  </si>
  <si>
    <t>FY 2018-19 Actual</t>
  </si>
  <si>
    <t>47225 · Data Acquisition</t>
  </si>
  <si>
    <t>61050 · Data Acquisition Costs</t>
  </si>
  <si>
    <t xml:space="preserve">Funds Held in Reserve for OCDAP  </t>
  </si>
  <si>
    <t>FY 20-21 Actual as % of Budget</t>
  </si>
  <si>
    <t>48000 - Government Grants (REAP)</t>
  </si>
  <si>
    <t>63000 · Grant Support (REAP)</t>
  </si>
  <si>
    <t>62115 - Strategic Consulting</t>
  </si>
  <si>
    <t>Total 63000 · REAP Grant Funds</t>
  </si>
  <si>
    <t>Income</t>
  </si>
  <si>
    <t>Notes</t>
  </si>
  <si>
    <t>Sponsorship</t>
  </si>
  <si>
    <t>Registration</t>
  </si>
  <si>
    <t>In-kind</t>
  </si>
  <si>
    <t>Total Income</t>
  </si>
  <si>
    <t>Expenses</t>
  </si>
  <si>
    <t>Food &amp; Beverage</t>
  </si>
  <si>
    <t>meals</t>
  </si>
  <si>
    <t>service charge</t>
  </si>
  <si>
    <t>22% service charge</t>
  </si>
  <si>
    <t>tax</t>
  </si>
  <si>
    <t>Total F&amp;B</t>
  </si>
  <si>
    <t>Décor</t>
  </si>
  <si>
    <t xml:space="preserve">centerpieces, stage décor, etc. </t>
  </si>
  <si>
    <t>A/V</t>
  </si>
  <si>
    <t>Parking</t>
  </si>
  <si>
    <t>Room Charge</t>
  </si>
  <si>
    <t>room fee waived, charge for 6' display tables for expo</t>
  </si>
  <si>
    <t>Graphic Design</t>
  </si>
  <si>
    <t>INCLUDED WITH COMMS LAB RETAINER 2020, 2021</t>
  </si>
  <si>
    <t>Printing</t>
  </si>
  <si>
    <t>singnage, program, fliers</t>
  </si>
  <si>
    <t>Event Planning Support</t>
  </si>
  <si>
    <t>Speaker Fees</t>
  </si>
  <si>
    <t>Online Registration</t>
  </si>
  <si>
    <t>registration fees</t>
  </si>
  <si>
    <t>credit card fees</t>
  </si>
  <si>
    <t>Videography</t>
  </si>
  <si>
    <t>budget added for live streaming in 2021</t>
  </si>
  <si>
    <t>Miscellaneous</t>
  </si>
  <si>
    <t>name badges+ stuffing, ribbons, tax</t>
  </si>
  <si>
    <t>Promotional Items</t>
  </si>
  <si>
    <t>Total Expenses</t>
  </si>
  <si>
    <t>Revenues from GA</t>
  </si>
  <si>
    <t xml:space="preserve"> $-  </t>
  </si>
  <si>
    <t>based on 300*8</t>
  </si>
  <si>
    <t>2021 Actual YTD</t>
  </si>
  <si>
    <t xml:space="preserve">FY 20-21 Budget </t>
  </si>
  <si>
    <t xml:space="preserve"> FY 19-20 Actual </t>
  </si>
  <si>
    <t>FY 21-22 Proposed</t>
  </si>
  <si>
    <t>starting in 2019 added convenience fee</t>
  </si>
  <si>
    <t>Stage manager (in-kind)</t>
  </si>
  <si>
    <t>keynote travel 2020</t>
  </si>
  <si>
    <t>travel/lodging</t>
  </si>
  <si>
    <t xml:space="preserve"> FY 19-20 Budget </t>
  </si>
  <si>
    <t xml:space="preserve">FY 18-19 Actual  </t>
  </si>
  <si>
    <t xml:space="preserve"> 17-18 Actual </t>
  </si>
  <si>
    <t xml:space="preserve"> FY16-17 Actual </t>
  </si>
  <si>
    <t>2020 is deposit rolled over to 2021</t>
  </si>
  <si>
    <t>2020 conference bags will be used in 2021</t>
  </si>
  <si>
    <t>65010 · Software, Subscriptions</t>
  </si>
  <si>
    <t>68310 · Conference, Registrations</t>
  </si>
  <si>
    <t>68320 · Mileage, Parking, Tolls</t>
  </si>
  <si>
    <t xml:space="preserve">68300 · Meals and Board Meetings </t>
  </si>
  <si>
    <t>63050 . ADU How To Toolkit</t>
  </si>
  <si>
    <t>63060 . Housing OC Website</t>
  </si>
  <si>
    <t>63070 . Housing OC Videos</t>
  </si>
  <si>
    <t>63080 . OCHFT Projects</t>
  </si>
  <si>
    <t>63090 . OCHT Projects</t>
  </si>
  <si>
    <t>65005 . Advertising</t>
  </si>
  <si>
    <t>65010 . Board Member Stipends</t>
  </si>
  <si>
    <t>62113 - Project Management</t>
  </si>
  <si>
    <t>One-time expenses for 2021-22</t>
  </si>
  <si>
    <t>FY 19-20 event (April 2020) was canceled</t>
  </si>
  <si>
    <t xml:space="preserve">FY 20-21 event moved into FY 21-22 (Nov 2021) </t>
  </si>
  <si>
    <t>FY 21-22 General Assembly Draft Budget</t>
  </si>
  <si>
    <t>Funds required to be held in reserve per OCCOG policy</t>
  </si>
  <si>
    <t>Funds available for OCCOG operations for following FY</t>
  </si>
  <si>
    <t>FY 21-22 Budget</t>
  </si>
  <si>
    <t>FY 21-22 Actual July 21 - Dec 21 as % of Budget</t>
  </si>
  <si>
    <t>OCCOG</t>
  </si>
  <si>
    <t>FY 2022-23</t>
  </si>
  <si>
    <t>63030 . Housing Support Staffing &amp; Services</t>
  </si>
  <si>
    <t>62165 · Legislative/policy analysis + Government relations</t>
  </si>
  <si>
    <t>KLM contract concludes 6/30/22</t>
  </si>
  <si>
    <t>total amount increased due to added funds from SCAG and VCOG/GCCOG</t>
  </si>
  <si>
    <t>Squarespace hosting and GoDaddy domains</t>
  </si>
  <si>
    <t>no boosted pots for FY 2022-23</t>
  </si>
  <si>
    <t>includes additional expenses for subregional leadership roundtable and district/legislative briefings</t>
  </si>
  <si>
    <t>Notes/ Assumptions</t>
  </si>
  <si>
    <t>2021-22 budget included ALL REAP funds/expenses. Full program was not carried out in FY 21-22, carry over for 22-23</t>
  </si>
  <si>
    <t>no expenditures for cycle 1 this period, see reserves below for funds available to carry over to cycle 2</t>
  </si>
  <si>
    <t>includes additional costs for increased participation in partner programs/ legislative visits</t>
  </si>
  <si>
    <t>total grant amount increased due to added funds from SCAG and VCOG/GCCOG</t>
  </si>
  <si>
    <t>REAP-related expenses for reimbursement</t>
  </si>
  <si>
    <t>Connected Consulting</t>
  </si>
  <si>
    <t>Lisa Telles</t>
  </si>
  <si>
    <t>John Hanson</t>
  </si>
  <si>
    <t>Fred Galante</t>
  </si>
  <si>
    <t>total 2022-23 fee</t>
  </si>
  <si>
    <t>Amount charged to REAP (est.)</t>
  </si>
  <si>
    <t>% time est. REAP</t>
  </si>
  <si>
    <t>AJ Design</t>
  </si>
  <si>
    <t>38 Alpha (Kathryn)</t>
  </si>
  <si>
    <t>Website</t>
  </si>
  <si>
    <t>Michelle Boehm</t>
  </si>
  <si>
    <t>38 Alpha</t>
  </si>
  <si>
    <t>ADU How To</t>
  </si>
  <si>
    <t>Housing OC Videos</t>
  </si>
  <si>
    <t xml:space="preserve"> Project Management, meetings and reporting</t>
  </si>
  <si>
    <t>project management</t>
  </si>
  <si>
    <t>additional level of effort</t>
  </si>
  <si>
    <t>website design</t>
  </si>
  <si>
    <t>script development and project management</t>
  </si>
  <si>
    <t>included in retainer</t>
  </si>
  <si>
    <t>website design, outside retainer scope</t>
  </si>
  <si>
    <t xml:space="preserve">website content development, outside retainer agreement </t>
  </si>
  <si>
    <t xml:space="preserve">Total OCCOG staff </t>
  </si>
  <si>
    <t>OCHT</t>
  </si>
  <si>
    <t>OCHFT</t>
  </si>
  <si>
    <t>00021-01</t>
  </si>
  <si>
    <t>OCS Bench</t>
  </si>
  <si>
    <t>00022-01- Mega ADU</t>
  </si>
  <si>
    <t>00022-02 ULI</t>
  </si>
  <si>
    <t>administrative support</t>
  </si>
  <si>
    <t>contract development and legal review</t>
  </si>
  <si>
    <t>project administration/reporting/billing</t>
  </si>
  <si>
    <t>content development and project management</t>
  </si>
  <si>
    <t xml:space="preserve">Project management, reporting, meetings, etc. </t>
  </si>
  <si>
    <t>REAP Project-Specific Activities</t>
  </si>
  <si>
    <t>includes voice over, translation and graphic design services @3500/video X 4 videos</t>
  </si>
  <si>
    <t>includes OCS Bench and ULI partnership</t>
  </si>
  <si>
    <t>Joint project with VCOG and GCCOG</t>
  </si>
  <si>
    <t>OCHT has revised their ability to spend REAP funds, project amounts adjusted for FY 2022-23 to reflect change</t>
  </si>
  <si>
    <t>Cycle 1 OCCOG Contribution</t>
  </si>
  <si>
    <t>FY 2022-23 OCDAP Beginning Balance</t>
  </si>
  <si>
    <t>Cycle 2 OCCOG Contribution</t>
  </si>
  <si>
    <t>Cycle 2 Consortium Parnters Contributions</t>
  </si>
  <si>
    <t>OCDAP Cycle 2 Expenses</t>
  </si>
  <si>
    <t xml:space="preserve">Total  </t>
  </si>
  <si>
    <t>Amount remaining from Cycle 1 being held by OCCOG</t>
  </si>
  <si>
    <t>27 committed partners as of 5/20/22</t>
  </si>
  <si>
    <t>Total funds available for OCDAP Cycle 2</t>
  </si>
  <si>
    <t>residual funds, to be held by OCCOG for use in Cycle 3</t>
  </si>
  <si>
    <t>Amount</t>
  </si>
  <si>
    <t>Fiscal Year 2022-23 OCCOG Dues Schedule</t>
  </si>
  <si>
    <t>0% increase</t>
  </si>
  <si>
    <t>Agency Name</t>
  </si>
  <si>
    <t>City Population*</t>
  </si>
  <si>
    <t>% Population</t>
  </si>
  <si>
    <t>2/3
Weighted Dues % of Total Pop.</t>
  </si>
  <si>
    <t>1/3 
Base Dues</t>
  </si>
  <si>
    <t>Fixed Dues
(Non-City Members)</t>
  </si>
  <si>
    <t>Total Dues</t>
  </si>
  <si>
    <t>Aliso Viejo</t>
  </si>
  <si>
    <t xml:space="preserve">Anaheim             </t>
  </si>
  <si>
    <t xml:space="preserve">Brea                </t>
  </si>
  <si>
    <t xml:space="preserve">Buena Park          </t>
  </si>
  <si>
    <t xml:space="preserve">Costa Mesa          </t>
  </si>
  <si>
    <t xml:space="preserve">Cypress             </t>
  </si>
  <si>
    <t xml:space="preserve">Dana Point          </t>
  </si>
  <si>
    <t xml:space="preserve">Fountain Valley     </t>
  </si>
  <si>
    <t xml:space="preserve">Fullerton           </t>
  </si>
  <si>
    <t xml:space="preserve">Garden Grove        </t>
  </si>
  <si>
    <t xml:space="preserve">Huntington Beach    </t>
  </si>
  <si>
    <t xml:space="preserve">Irvine              </t>
  </si>
  <si>
    <t xml:space="preserve">Laguna Beach        </t>
  </si>
  <si>
    <t xml:space="preserve">Laguna Hills        </t>
  </si>
  <si>
    <t xml:space="preserve">Laguna Niguel       </t>
  </si>
  <si>
    <t>Laguna Woods</t>
  </si>
  <si>
    <t xml:space="preserve">La Habra            </t>
  </si>
  <si>
    <t xml:space="preserve">Lake Forest         </t>
  </si>
  <si>
    <t xml:space="preserve">La Palma            </t>
  </si>
  <si>
    <t xml:space="preserve">Los Alamitos        </t>
  </si>
  <si>
    <t xml:space="preserve">Mission Viejo       </t>
  </si>
  <si>
    <t xml:space="preserve">Newport Beach       </t>
  </si>
  <si>
    <t xml:space="preserve">Orange              </t>
  </si>
  <si>
    <t xml:space="preserve">Placentia           </t>
  </si>
  <si>
    <t>Rancho Santa Margarita</t>
  </si>
  <si>
    <t xml:space="preserve">San Clemente        </t>
  </si>
  <si>
    <t xml:space="preserve">San Juan Capistrano </t>
  </si>
  <si>
    <t xml:space="preserve">Santa Ana           </t>
  </si>
  <si>
    <t xml:space="preserve">Seal Beach          </t>
  </si>
  <si>
    <t xml:space="preserve">Stanton             </t>
  </si>
  <si>
    <t xml:space="preserve">Tustin              </t>
  </si>
  <si>
    <t xml:space="preserve">Villa Park          </t>
  </si>
  <si>
    <t xml:space="preserve">Westminster         </t>
  </si>
  <si>
    <t xml:space="preserve">Yorba Linda         </t>
  </si>
  <si>
    <t>County of Orange (withdrew)</t>
  </si>
  <si>
    <t>OCTA</t>
  </si>
  <si>
    <t>TCA</t>
  </si>
  <si>
    <t>OC Sanitation District</t>
  </si>
  <si>
    <t>ISDOC</t>
  </si>
  <si>
    <t>South Coast AQMD</t>
  </si>
  <si>
    <t>Incorporated City totals</t>
  </si>
  <si>
    <t>Unincorporated total</t>
  </si>
  <si>
    <t>Total County Population</t>
  </si>
  <si>
    <t>Rev. 5/2/2022</t>
  </si>
  <si>
    <t>REMEMBER TO PASTE THE TOTALS USING THE DOF SORT ORDER</t>
  </si>
  <si>
    <t>DO NOT PRINT GREY AREA; PRINT AREA SET FOR PORTRAIT MODE</t>
  </si>
  <si>
    <t>STEP 1- PASTE VALUES OF EXISTING DUES HERE</t>
  </si>
  <si>
    <t>STEP 3- PASTE "BALANCE OF COUNTY" INTO CELL C50</t>
  </si>
  <si>
    <t>STEP 4- PASTE CITY TOTALS FROM COLUMN L (RED) INTO COLUMN C</t>
  </si>
  <si>
    <t>STEP 5- CHANGE FORMULA FOR NON-CITY MEMBERS IN COLUMN G</t>
  </si>
  <si>
    <t>STEP 2- PASTE VALUES- DOF CITY NAME AND POP DATA HERE</t>
  </si>
  <si>
    <t>FY 2021/22?</t>
  </si>
  <si>
    <t>FY2020/21</t>
  </si>
  <si>
    <t xml:space="preserve">Balance Of County    </t>
  </si>
  <si>
    <t>Incorporated</t>
  </si>
  <si>
    <t>County Total</t>
  </si>
  <si>
    <t>INCREASE OVER 2021/22</t>
  </si>
  <si>
    <t>ENTER % INCREASE HERE FOR AUTOCALCULATIONS</t>
  </si>
  <si>
    <t>FY20/21</t>
  </si>
  <si>
    <t>Population Estimate - January 1, 2022 California State Department of Finance (www.dof.ca.gov).</t>
  </si>
  <si>
    <t>Base Dues - 1/3 of total Dues Less Fixed Dues</t>
  </si>
  <si>
    <t>Dues Based on Population - 2/3 of total Dues Less Fixed Dues</t>
  </si>
  <si>
    <t>Fixed Dues - Non-City agencies</t>
  </si>
  <si>
    <t>Fiscal Year 2022-23 Cost for Demographic Research (CSUF) Schedule</t>
  </si>
  <si>
    <t>STEP 3- PASTE POP VALUES INTO COLUMN C</t>
  </si>
  <si>
    <t xml:space="preserve">STEP 1- COPY/PASTE SPECIAL EXISTING YEAR'S FEES INTO COLUMN O BELOW &amp; CHANGE FY TITLE IN </t>
  </si>
  <si>
    <t>FY2021/22</t>
  </si>
  <si>
    <t>diff</t>
  </si>
  <si>
    <t>City Name</t>
  </si>
  <si>
    <t>Weighted Fees % of Total Pop.</t>
  </si>
  <si>
    <t>1/3 Base Fees</t>
  </si>
  <si>
    <t>Total Fees</t>
  </si>
  <si>
    <t>STEP 2- PASTE VALUES- DOF CITY NAME AND POP DATA HERE, CHECK ALL VALUES IN COLUMN J=TRUE</t>
  </si>
  <si>
    <t>Base Fees - 1/3 of total Fees</t>
  </si>
  <si>
    <t>Fees Based on Population - 2/3 of total Fees</t>
  </si>
  <si>
    <t>Total CDR Fees for FY 2022-23</t>
  </si>
  <si>
    <t>STEP 4- CHANGE FORMULA IN CELL G51 TO MATCH FISCAL YEAR SPONSOR TOTAL</t>
  </si>
  <si>
    <t>2020-21</t>
  </si>
  <si>
    <t>2021-22</t>
  </si>
  <si>
    <t>2022-23</t>
  </si>
  <si>
    <t>OCCOG Board approved 3-Year CDR MOU and Budget</t>
  </si>
  <si>
    <t>ADOPTED BY CDR MOC ON 2/13/2020; SENT FOR SIGS</t>
  </si>
  <si>
    <t xml:space="preserve">STEP 5- UPDATE ALL DATES &amp; SOURCES </t>
  </si>
  <si>
    <t xml:space="preserve">63010 . Contract 0001-21, Geospatial </t>
  </si>
  <si>
    <t>63020 . Contract 0001-22, ADU</t>
  </si>
  <si>
    <t>includes a rate increase for Fred, ongoing litigation</t>
  </si>
  <si>
    <t>Total Unrestricted Revenues</t>
  </si>
  <si>
    <t>pass trhu only</t>
  </si>
  <si>
    <t>OCCOG Operational Expenses only (no pass-thru or grant funding)</t>
  </si>
  <si>
    <t>Proposed 22-23 Budget- BALANCED</t>
  </si>
  <si>
    <t>Proposed 22-23 Budget ALIGNS WITH WORKPLAN AND STRAT PLAN</t>
  </si>
  <si>
    <t>FY 19-20 Actual</t>
  </si>
  <si>
    <t>FY 19-20 Budget</t>
  </si>
  <si>
    <t>Includes Dues Increase</t>
  </si>
  <si>
    <t xml:space="preserve">Original Dues Amount NO Increase </t>
  </si>
  <si>
    <t xml:space="preserve">Total Dues WITH increase </t>
  </si>
  <si>
    <t xml:space="preserve">leg tracking, adobe, MSOffice 365, MailChimp, zoom </t>
  </si>
  <si>
    <t>Sponsorships</t>
  </si>
  <si>
    <t>Registrations</t>
  </si>
  <si>
    <t>Notes/Assumptions</t>
  </si>
  <si>
    <t>F&amp;B</t>
  </si>
  <si>
    <t>Taxes</t>
  </si>
  <si>
    <t>Promo Items</t>
  </si>
  <si>
    <t>Room Fee/ rentals</t>
  </si>
  <si>
    <t>Stage Manager</t>
  </si>
  <si>
    <t>use items left over from 2021</t>
  </si>
  <si>
    <t>services fee</t>
  </si>
  <si>
    <t>Total Non-F&amp;B</t>
  </si>
  <si>
    <t>Total All Expenses</t>
  </si>
  <si>
    <t>Net Gain/ (Loss)</t>
  </si>
  <si>
    <t>Travel/lodging</t>
  </si>
  <si>
    <t>Speaker fee</t>
  </si>
  <si>
    <t>manage sponsors, vendors, speakers, onsite support</t>
  </si>
  <si>
    <t>no hosted parking this year OR  free parking at Nixon Library</t>
  </si>
  <si>
    <t>includes rate increase for John Hanson</t>
  </si>
  <si>
    <t>includes scope/retainer increase for WJS and also increased scope for 38 Alpha</t>
  </si>
  <si>
    <t>work performed by AJDesign, Lisa Telles, Connected Consulting</t>
  </si>
  <si>
    <t>work performed by AJDesign, Lisa Telles, Michelle Boehm Connected Consulting</t>
  </si>
  <si>
    <t>contract stipulates 3% COLA annually; 24302.86 REAP-related 2021-22 YTD</t>
  </si>
  <si>
    <t>REAP</t>
  </si>
  <si>
    <t>Non-REAP</t>
  </si>
  <si>
    <t>Total</t>
  </si>
  <si>
    <t>Litigation</t>
  </si>
  <si>
    <t>REAP includes additional 5000 for website support outside of scope</t>
  </si>
  <si>
    <t>Assumptions/Notes</t>
  </si>
  <si>
    <t>Contract Staff Total</t>
  </si>
  <si>
    <t>doubled audit cost due to REAP</t>
  </si>
  <si>
    <t>Aleshire Wynder LLP</t>
  </si>
  <si>
    <t>WJS Consulting</t>
  </si>
  <si>
    <t>Eide Bailey</t>
  </si>
  <si>
    <t>increased retainer to 3000/month for 2022-23, expanded scope gov. rel and collab</t>
  </si>
  <si>
    <t>litigation costs shared with other litigants; increased reate 2022-23</t>
  </si>
  <si>
    <t>increase hourly rate 2022-23</t>
  </si>
  <si>
    <t>* Does not include funds for OCDAP</t>
  </si>
  <si>
    <t>GA</t>
  </si>
  <si>
    <t>incl</t>
  </si>
  <si>
    <t>Non-grant pass-thru expenses + OCCOG Operations</t>
  </si>
  <si>
    <t xml:space="preserve"> 2021 reserves include 20,000 OCCOG contribution from cycle 1</t>
  </si>
  <si>
    <t>General Assembly</t>
  </si>
  <si>
    <t>assumes 1 @$10000 3@$5000, 8@$2500 and 10@$1000; includes 90 comps</t>
  </si>
  <si>
    <t>assumes 125 registered @ $100 + 30 comps for BOD and staff, 10 comps for speakers</t>
  </si>
  <si>
    <t xml:space="preserve">assumes 255 @$75pp++ </t>
  </si>
  <si>
    <t>2022-23 est. contributions from 27 agencies+ 53000 reserves + 20000 OCCOG cycle 1+ 20000 OCCOG cycle 2</t>
  </si>
  <si>
    <t>Lisa Telles retainer 2000</t>
  </si>
  <si>
    <t xml:space="preserve">NEW enhanced reporting/monitoring activities </t>
  </si>
  <si>
    <t>Includes AJ Design monthly retainer 2000, 500 Lisa Telles</t>
  </si>
  <si>
    <t>63100 . REAP Project Support</t>
  </si>
  <si>
    <t>County of Orange</t>
  </si>
  <si>
    <t>Non-REAP includes 5000 GA, 2000/month retainer</t>
  </si>
  <si>
    <t>2500/mo retainer split 24000 PM, 6000 MarCom</t>
  </si>
  <si>
    <t>2022-23 increase in dues ($69,793 increase)</t>
  </si>
  <si>
    <t>% Increase:
FY21/22 to FY22/23</t>
  </si>
  <si>
    <t>Dollar Amount of Increase</t>
  </si>
  <si>
    <t>added cost due to audit for REAP funds- included 8000 in line 55</t>
  </si>
  <si>
    <t>reimbursement for OCCOG contract staff project work; includes 7500 for audit</t>
  </si>
  <si>
    <t xml:space="preserve">includes $75000 for AJ Design and Lisa Telles stage management and event planning </t>
  </si>
  <si>
    <t xml:space="preserve">Proposed 22-23 Budget, NO DUES INCREASE, FULL RESERVES, REDUCED WORKPLAN </t>
  </si>
  <si>
    <t>quarterly payments</t>
  </si>
  <si>
    <t>Board must decide if you wish to reinstate stipend per OCCOG Bylaws. Budget assumes yes, and budgets in line with actual 21-22 levels.</t>
  </si>
  <si>
    <t>July 21 - May 22 YTD Actual</t>
  </si>
  <si>
    <t xml:space="preserve">Reserve policy board discretion to retain 3 month operating reserve </t>
  </si>
  <si>
    <t>2000/mo retainer for SCAG meeting monitoring/briefings</t>
  </si>
  <si>
    <t>Non-REAP: 10000 clerk, 25000 admin, 5000 expanded scope for government 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</si>
</sst>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_);\(0\)"/>
    <numFmt numFmtId="166" formatCode="_(&quot;$&quot;* #,##0_);_(&quot;$&quot;* \(#,##0\);_(&quot;$&quot;* &quot;-&quot;??_);_(@_)"/>
    <numFmt numFmtId="167" formatCode="_([$$-409]* #,##0.00_);_([$$-409]* \(#,##0.00\);_([$$-409]* &quot;-&quot;??_);_(@_)"/>
    <numFmt numFmtId="168" formatCode="_(* #,##0_);_(* \(#,##0\);_(* &quot;-&quot;??_);_(@_)"/>
    <numFmt numFmtId="169" formatCode="&quot;$&quot;#,##0.00"/>
    <numFmt numFmtId="170" formatCode="0.0000%"/>
    <numFmt numFmtId="171" formatCode="0.0%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323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32323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name val="Times New Roman"/>
      <family val="1"/>
    </font>
    <font>
      <b/>
      <u/>
      <sz val="12"/>
      <name val="Arial"/>
      <family val="2"/>
    </font>
    <font>
      <b/>
      <sz val="10"/>
      <name val="Arial"/>
      <family val="2"/>
    </font>
    <font>
      <sz val="12"/>
      <color rgb="FF7030A0"/>
      <name val="Arial"/>
      <family val="2"/>
    </font>
    <font>
      <sz val="12"/>
      <color rgb="FFFF0000"/>
      <name val="Arial"/>
      <family val="2"/>
    </font>
    <font>
      <b/>
      <sz val="12"/>
      <color rgb="FF7030A0"/>
      <name val="Arial"/>
      <family val="2"/>
    </font>
    <font>
      <i/>
      <sz val="12"/>
      <color rgb="FF7030A0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u/>
      <sz val="10"/>
      <name val="Times New Roman"/>
      <family val="1"/>
    </font>
    <font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19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 diagonalUp="1"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auto="1"/>
      </right>
      <top style="thin">
        <color auto="1"/>
      </top>
      <bottom style="thin">
        <color rgb="FFBFBFBF"/>
      </bottom>
      <diagonal/>
    </border>
    <border>
      <left style="thin">
        <color rgb="FFBFBFBF"/>
      </left>
      <right style="thin">
        <color auto="1"/>
      </right>
      <top/>
      <bottom style="thin">
        <color rgb="FFBFBFBF"/>
      </bottom>
      <diagonal/>
    </border>
    <border>
      <left/>
      <right style="thin">
        <color auto="1"/>
      </right>
      <top style="thin">
        <color rgb="FFBFBFBF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2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2">
    <xf numFmtId="0" fontId="0" fillId="0" borderId="0" xfId="0"/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applyBorder="1"/>
    <xf numFmtId="0" fontId="11" fillId="0" borderId="0" xfId="0" applyFont="1" applyBorder="1"/>
    <xf numFmtId="167" fontId="11" fillId="0" borderId="0" xfId="0" applyNumberFormat="1" applyFont="1" applyBorder="1"/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vertical="top"/>
    </xf>
    <xf numFmtId="167" fontId="12" fillId="5" borderId="0" xfId="0" applyNumberFormat="1" applyFont="1" applyFill="1" applyBorder="1" applyAlignment="1">
      <alignment vertical="top"/>
    </xf>
    <xf numFmtId="167" fontId="12" fillId="0" borderId="0" xfId="0" applyNumberFormat="1" applyFont="1" applyBorder="1" applyAlignment="1">
      <alignment vertical="top"/>
    </xf>
    <xf numFmtId="167" fontId="12" fillId="7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167" fontId="11" fillId="5" borderId="0" xfId="0" applyNumberFormat="1" applyFont="1" applyFill="1" applyBorder="1" applyAlignment="1">
      <alignment vertical="top"/>
    </xf>
    <xf numFmtId="167" fontId="11" fillId="0" borderId="0" xfId="0" applyNumberFormat="1" applyFont="1" applyBorder="1" applyAlignment="1">
      <alignment vertical="top"/>
    </xf>
    <xf numFmtId="167" fontId="11" fillId="7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 vertical="top"/>
    </xf>
    <xf numFmtId="9" fontId="11" fillId="0" borderId="0" xfId="0" applyNumberFormat="1" applyFont="1" applyBorder="1" applyAlignment="1">
      <alignment vertical="top" wrapText="1"/>
    </xf>
    <xf numFmtId="10" fontId="11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167" fontId="12" fillId="0" borderId="0" xfId="0" applyNumberFormat="1" applyFont="1" applyFill="1" applyBorder="1" applyAlignment="1">
      <alignment vertical="top"/>
    </xf>
    <xf numFmtId="167" fontId="11" fillId="0" borderId="0" xfId="0" applyNumberFormat="1" applyFont="1" applyBorder="1" applyAlignment="1">
      <alignment vertical="top" wrapText="1"/>
    </xf>
    <xf numFmtId="167" fontId="12" fillId="0" borderId="0" xfId="0" applyNumberFormat="1" applyFont="1" applyBorder="1" applyAlignment="1">
      <alignment vertical="top" wrapText="1"/>
    </xf>
    <xf numFmtId="167" fontId="11" fillId="5" borderId="2" xfId="0" applyNumberFormat="1" applyFont="1" applyFill="1" applyBorder="1" applyAlignment="1">
      <alignment vertical="top"/>
    </xf>
    <xf numFmtId="167" fontId="11" fillId="0" borderId="2" xfId="0" applyNumberFormat="1" applyFont="1" applyBorder="1" applyAlignment="1">
      <alignment vertical="top"/>
    </xf>
    <xf numFmtId="167" fontId="11" fillId="7" borderId="2" xfId="0" applyNumberFormat="1" applyFont="1" applyFill="1" applyBorder="1" applyAlignment="1">
      <alignment vertical="top"/>
    </xf>
    <xf numFmtId="0" fontId="12" fillId="8" borderId="0" xfId="0" applyFont="1" applyFill="1" applyBorder="1" applyAlignment="1">
      <alignment vertical="top"/>
    </xf>
    <xf numFmtId="167" fontId="12" fillId="8" borderId="0" xfId="0" applyNumberFormat="1" applyFont="1" applyFill="1" applyBorder="1" applyAlignment="1">
      <alignment vertical="top"/>
    </xf>
    <xf numFmtId="167" fontId="11" fillId="8" borderId="0" xfId="0" applyNumberFormat="1" applyFont="1" applyFill="1" applyBorder="1" applyAlignment="1">
      <alignment vertical="top"/>
    </xf>
    <xf numFmtId="167" fontId="11" fillId="8" borderId="2" xfId="0" applyNumberFormat="1" applyFont="1" applyFill="1" applyBorder="1" applyAlignment="1">
      <alignment vertical="top"/>
    </xf>
    <xf numFmtId="0" fontId="11" fillId="8" borderId="0" xfId="0" applyFont="1" applyFill="1" applyBorder="1" applyAlignment="1">
      <alignment vertical="top"/>
    </xf>
    <xf numFmtId="0" fontId="11" fillId="8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167" fontId="3" fillId="7" borderId="0" xfId="0" applyNumberFormat="1" applyFont="1" applyFill="1" applyBorder="1" applyAlignment="1">
      <alignment vertical="top"/>
    </xf>
    <xf numFmtId="167" fontId="3" fillId="7" borderId="2" xfId="0" applyNumberFormat="1" applyFont="1" applyFill="1" applyBorder="1" applyAlignment="1">
      <alignment vertical="top"/>
    </xf>
    <xf numFmtId="0" fontId="14" fillId="0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2" fontId="0" fillId="0" borderId="6" xfId="0" applyNumberFormat="1" applyFont="1" applyBorder="1" applyAlignment="1">
      <alignment horizontal="right"/>
    </xf>
    <xf numFmtId="41" fontId="0" fillId="0" borderId="0" xfId="0" applyNumberFormat="1" applyFont="1"/>
    <xf numFmtId="41" fontId="0" fillId="0" borderId="0" xfId="0" applyNumberFormat="1" applyFont="1" applyFill="1"/>
    <xf numFmtId="41" fontId="0" fillId="0" borderId="0" xfId="0" applyNumberFormat="1" applyFont="1" applyFill="1" applyBorder="1"/>
    <xf numFmtId="164" fontId="0" fillId="0" borderId="0" xfId="0" applyNumberFormat="1" applyFont="1"/>
    <xf numFmtId="0" fontId="0" fillId="0" borderId="0" xfId="0" applyFont="1" applyFill="1"/>
    <xf numFmtId="0" fontId="0" fillId="2" borderId="0" xfId="0" applyNumberFormat="1" applyFont="1" applyFill="1"/>
    <xf numFmtId="43" fontId="0" fillId="0" borderId="0" xfId="0" applyNumberFormat="1" applyFont="1" applyAlignment="1">
      <alignment horizontal="right"/>
    </xf>
    <xf numFmtId="0" fontId="4" fillId="0" borderId="0" xfId="0" applyFont="1" applyFill="1" applyAlignme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3" fontId="4" fillId="0" borderId="2" xfId="0" applyNumberFormat="1" applyFont="1" applyFill="1" applyBorder="1" applyAlignment="1">
      <alignment horizontal="center" wrapText="1"/>
    </xf>
    <xf numFmtId="41" fontId="0" fillId="0" borderId="0" xfId="0" applyNumberFormat="1" applyFont="1" applyAlignment="1">
      <alignment horizontal="right"/>
    </xf>
    <xf numFmtId="49" fontId="4" fillId="0" borderId="0" xfId="0" applyNumberFormat="1" applyFont="1" applyFill="1"/>
    <xf numFmtId="41" fontId="0" fillId="0" borderId="0" xfId="0" applyNumberFormat="1" applyFont="1" applyFill="1" applyAlignment="1">
      <alignment horizontal="right"/>
    </xf>
    <xf numFmtId="49" fontId="4" fillId="4" borderId="0" xfId="0" applyNumberFormat="1" applyFont="1" applyFill="1"/>
    <xf numFmtId="41" fontId="0" fillId="0" borderId="4" xfId="0" applyNumberFormat="1" applyFont="1" applyBorder="1" applyAlignment="1">
      <alignment horizontal="right"/>
    </xf>
    <xf numFmtId="41" fontId="0" fillId="0" borderId="2" xfId="0" applyNumberFormat="1" applyFont="1" applyFill="1" applyBorder="1" applyAlignment="1">
      <alignment horizontal="right"/>
    </xf>
    <xf numFmtId="41" fontId="0" fillId="11" borderId="2" xfId="0" applyNumberFormat="1" applyFont="1" applyFill="1" applyBorder="1"/>
    <xf numFmtId="41" fontId="0" fillId="5" borderId="2" xfId="0" applyNumberFormat="1" applyFont="1" applyFill="1" applyBorder="1"/>
    <xf numFmtId="41" fontId="0" fillId="5" borderId="0" xfId="0" applyNumberFormat="1" applyFont="1" applyFill="1"/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49" fontId="15" fillId="0" borderId="0" xfId="0" applyNumberFormat="1" applyFont="1" applyFill="1"/>
    <xf numFmtId="0" fontId="15" fillId="0" borderId="0" xfId="0" applyFont="1" applyFill="1"/>
    <xf numFmtId="41" fontId="14" fillId="0" borderId="0" xfId="0" applyNumberFormat="1" applyFont="1" applyFill="1" applyAlignment="1">
      <alignment horizontal="right"/>
    </xf>
    <xf numFmtId="41" fontId="0" fillId="0" borderId="4" xfId="0" applyNumberFormat="1" applyFont="1" applyBorder="1"/>
    <xf numFmtId="41" fontId="0" fillId="0" borderId="3" xfId="0" applyNumberFormat="1" applyFont="1" applyFill="1" applyBorder="1"/>
    <xf numFmtId="41" fontId="0" fillId="0" borderId="0" xfId="0" applyNumberFormat="1" applyFont="1" applyBorder="1"/>
    <xf numFmtId="41" fontId="0" fillId="0" borderId="6" xfId="0" applyNumberFormat="1" applyFont="1" applyBorder="1"/>
    <xf numFmtId="41" fontId="0" fillId="3" borderId="0" xfId="0" applyNumberFormat="1" applyFont="1" applyFill="1"/>
    <xf numFmtId="0" fontId="16" fillId="0" borderId="0" xfId="0" applyFont="1"/>
    <xf numFmtId="168" fontId="0" fillId="0" borderId="0" xfId="0" applyNumberFormat="1" applyFont="1" applyFill="1"/>
    <xf numFmtId="0" fontId="19" fillId="0" borderId="0" xfId="0" applyFont="1"/>
    <xf numFmtId="0" fontId="21" fillId="0" borderId="0" xfId="0" applyFont="1"/>
    <xf numFmtId="0" fontId="17" fillId="0" borderId="0" xfId="0" applyFont="1"/>
    <xf numFmtId="0" fontId="22" fillId="0" borderId="0" xfId="0" applyFont="1"/>
    <xf numFmtId="41" fontId="3" fillId="0" borderId="0" xfId="0" applyNumberFormat="1" applyFont="1" applyAlignment="1">
      <alignment horizontal="right"/>
    </xf>
    <xf numFmtId="41" fontId="3" fillId="0" borderId="0" xfId="0" applyNumberFormat="1" applyFont="1"/>
    <xf numFmtId="43" fontId="3" fillId="0" borderId="0" xfId="0" applyNumberFormat="1" applyFont="1" applyAlignment="1">
      <alignment horizontal="right"/>
    </xf>
    <xf numFmtId="0" fontId="23" fillId="0" borderId="0" xfId="0" applyFont="1"/>
    <xf numFmtId="43" fontId="24" fillId="0" borderId="0" xfId="0" applyNumberFormat="1" applyFont="1" applyAlignment="1">
      <alignment horizontal="right"/>
    </xf>
    <xf numFmtId="0" fontId="24" fillId="0" borderId="0" xfId="0" applyFont="1"/>
    <xf numFmtId="165" fontId="0" fillId="0" borderId="0" xfId="0" applyNumberFormat="1" applyFont="1" applyAlignment="1">
      <alignment horizontal="left"/>
    </xf>
    <xf numFmtId="0" fontId="17" fillId="0" borderId="0" xfId="0" applyFont="1" applyAlignment="1">
      <alignment horizontal="right"/>
    </xf>
    <xf numFmtId="6" fontId="17" fillId="0" borderId="0" xfId="0" applyNumberFormat="1" applyFont="1"/>
    <xf numFmtId="43" fontId="26" fillId="0" borderId="0" xfId="0" applyNumberFormat="1" applyFont="1" applyAlignment="1">
      <alignment horizontal="right"/>
    </xf>
    <xf numFmtId="41" fontId="0" fillId="11" borderId="0" xfId="0" applyNumberFormat="1" applyFont="1" applyFill="1"/>
    <xf numFmtId="3" fontId="0" fillId="0" borderId="0" xfId="0" applyNumberFormat="1"/>
    <xf numFmtId="0" fontId="11" fillId="0" borderId="0" xfId="0" applyFont="1"/>
    <xf numFmtId="0" fontId="0" fillId="0" borderId="2" xfId="0" applyBorder="1"/>
    <xf numFmtId="0" fontId="27" fillId="0" borderId="0" xfId="0" applyFont="1"/>
    <xf numFmtId="44" fontId="0" fillId="0" borderId="0" xfId="12" applyFont="1"/>
    <xf numFmtId="44" fontId="0" fillId="0" borderId="2" xfId="12" applyFont="1" applyBorder="1"/>
    <xf numFmtId="44" fontId="4" fillId="0" borderId="0" xfId="12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10" fontId="28" fillId="0" borderId="0" xfId="0" applyNumberFormat="1" applyFont="1" applyAlignment="1">
      <alignment horizontal="center" wrapText="1"/>
    </xf>
    <xf numFmtId="0" fontId="28" fillId="0" borderId="6" xfId="0" applyFont="1" applyBorder="1" applyAlignment="1">
      <alignment horizontal="center" wrapText="1"/>
    </xf>
    <xf numFmtId="43" fontId="28" fillId="0" borderId="0" xfId="0" applyNumberFormat="1" applyFont="1" applyAlignment="1">
      <alignment horizontal="center" wrapText="1"/>
    </xf>
    <xf numFmtId="0" fontId="30" fillId="0" borderId="7" xfId="0" applyFont="1" applyBorder="1" applyAlignment="1">
      <alignment horizontal="left" indent="1"/>
    </xf>
    <xf numFmtId="3" fontId="1" fillId="0" borderId="7" xfId="11" applyNumberFormat="1" applyBorder="1"/>
    <xf numFmtId="10" fontId="29" fillId="0" borderId="7" xfId="8" applyNumberFormat="1" applyFont="1" applyBorder="1"/>
    <xf numFmtId="7" fontId="29" fillId="0" borderId="8" xfId="9" applyNumberFormat="1" applyFont="1" applyBorder="1"/>
    <xf numFmtId="7" fontId="29" fillId="0" borderId="9" xfId="9" applyNumberFormat="1" applyFont="1" applyBorder="1"/>
    <xf numFmtId="7" fontId="29" fillId="0" borderId="10" xfId="9" applyNumberFormat="1" applyFont="1" applyBorder="1"/>
    <xf numFmtId="7" fontId="29" fillId="0" borderId="11" xfId="10" applyNumberFormat="1" applyFont="1" applyFill="1" applyBorder="1"/>
    <xf numFmtId="0" fontId="30" fillId="0" borderId="8" xfId="0" applyFont="1" applyBorder="1" applyAlignment="1">
      <alignment horizontal="left" indent="1"/>
    </xf>
    <xf numFmtId="3" fontId="1" fillId="0" borderId="8" xfId="11" applyNumberFormat="1" applyBorder="1"/>
    <xf numFmtId="10" fontId="29" fillId="0" borderId="8" xfId="8" applyNumberFormat="1" applyFont="1" applyBorder="1"/>
    <xf numFmtId="43" fontId="29" fillId="0" borderId="9" xfId="9" applyFont="1" applyBorder="1"/>
    <xf numFmtId="43" fontId="29" fillId="0" borderId="10" xfId="9" applyFont="1" applyBorder="1"/>
    <xf numFmtId="43" fontId="29" fillId="0" borderId="12" xfId="10" applyNumberFormat="1" applyFont="1" applyFill="1" applyBorder="1"/>
    <xf numFmtId="7" fontId="29" fillId="0" borderId="12" xfId="10" applyNumberFormat="1" applyFont="1" applyFill="1" applyBorder="1"/>
    <xf numFmtId="3" fontId="1" fillId="0" borderId="13" xfId="11" applyNumberFormat="1" applyBorder="1"/>
    <xf numFmtId="43" fontId="29" fillId="0" borderId="12" xfId="10" applyNumberFormat="1" applyFont="1" applyBorder="1"/>
    <xf numFmtId="3" fontId="29" fillId="0" borderId="8" xfId="0" applyNumberFormat="1" applyFont="1" applyBorder="1"/>
    <xf numFmtId="43" fontId="29" fillId="0" borderId="8" xfId="9" applyFont="1" applyBorder="1"/>
    <xf numFmtId="43" fontId="29" fillId="0" borderId="10" xfId="9" applyFont="1" applyFill="1" applyBorder="1"/>
    <xf numFmtId="0" fontId="30" fillId="0" borderId="13" xfId="0" applyFont="1" applyBorder="1" applyAlignment="1">
      <alignment horizontal="left" indent="1"/>
    </xf>
    <xf numFmtId="3" fontId="29" fillId="0" borderId="13" xfId="0" applyNumberFormat="1" applyFont="1" applyBorder="1"/>
    <xf numFmtId="10" fontId="29" fillId="0" borderId="13" xfId="8" applyNumberFormat="1" applyFont="1" applyBorder="1"/>
    <xf numFmtId="43" fontId="29" fillId="0" borderId="13" xfId="9" applyFont="1" applyBorder="1"/>
    <xf numFmtId="43" fontId="29" fillId="0" borderId="14" xfId="9" applyFont="1" applyFill="1" applyBorder="1"/>
    <xf numFmtId="43" fontId="29" fillId="0" borderId="15" xfId="10" applyNumberFormat="1" applyFont="1" applyBorder="1"/>
    <xf numFmtId="0" fontId="30" fillId="0" borderId="0" xfId="0" applyFont="1" applyAlignment="1">
      <alignment horizontal="left" indent="1"/>
    </xf>
    <xf numFmtId="3" fontId="29" fillId="0" borderId="0" xfId="0" applyNumberFormat="1" applyFont="1"/>
    <xf numFmtId="10" fontId="29" fillId="0" borderId="0" xfId="8" applyNumberFormat="1" applyFont="1"/>
    <xf numFmtId="43" fontId="29" fillId="0" borderId="0" xfId="9" applyFont="1"/>
    <xf numFmtId="43" fontId="29" fillId="0" borderId="0" xfId="10" applyNumberFormat="1" applyFont="1"/>
    <xf numFmtId="0" fontId="30" fillId="0" borderId="0" xfId="0" applyFont="1" applyAlignment="1">
      <alignment horizontal="left"/>
    </xf>
    <xf numFmtId="10" fontId="29" fillId="0" borderId="0" xfId="0" applyNumberFormat="1" applyFont="1"/>
    <xf numFmtId="169" fontId="29" fillId="0" borderId="0" xfId="0" applyNumberFormat="1" applyFont="1"/>
    <xf numFmtId="7" fontId="29" fillId="0" borderId="5" xfId="10" applyNumberFormat="1" applyFont="1" applyBorder="1"/>
    <xf numFmtId="43" fontId="29" fillId="0" borderId="0" xfId="0" applyNumberFormat="1" applyFont="1"/>
    <xf numFmtId="0" fontId="28" fillId="0" borderId="0" xfId="0" applyFont="1" applyAlignment="1">
      <alignment horizontal="right"/>
    </xf>
    <xf numFmtId="43" fontId="28" fillId="0" borderId="0" xfId="10" applyNumberFormat="1" applyFont="1"/>
    <xf numFmtId="3" fontId="29" fillId="0" borderId="6" xfId="0" applyNumberFormat="1" applyFont="1" applyBorder="1"/>
    <xf numFmtId="0" fontId="29" fillId="0" borderId="0" xfId="0" applyFont="1"/>
    <xf numFmtId="7" fontId="29" fillId="0" borderId="0" xfId="0" applyNumberFormat="1" applyFont="1"/>
    <xf numFmtId="44" fontId="29" fillId="0" borderId="0" xfId="0" applyNumberFormat="1" applyFont="1"/>
    <xf numFmtId="8" fontId="29" fillId="0" borderId="6" xfId="0" applyNumberFormat="1" applyFont="1" applyBorder="1"/>
    <xf numFmtId="8" fontId="29" fillId="0" borderId="16" xfId="0" applyNumberFormat="1" applyFont="1" applyBorder="1"/>
    <xf numFmtId="170" fontId="29" fillId="0" borderId="0" xfId="0" applyNumberFormat="1" applyFont="1"/>
    <xf numFmtId="8" fontId="29" fillId="0" borderId="5" xfId="0" applyNumberFormat="1" applyFont="1" applyBorder="1"/>
    <xf numFmtId="14" fontId="29" fillId="0" borderId="0" xfId="0" applyNumberFormat="1" applyFont="1"/>
    <xf numFmtId="0" fontId="31" fillId="0" borderId="0" xfId="0" applyFont="1" applyAlignment="1">
      <alignment horizontal="right"/>
    </xf>
    <xf numFmtId="0" fontId="32" fillId="11" borderId="0" xfId="0" applyFont="1" applyFill="1"/>
    <xf numFmtId="10" fontId="32" fillId="11" borderId="0" xfId="0" applyNumberFormat="1" applyFont="1" applyFill="1"/>
    <xf numFmtId="43" fontId="32" fillId="11" borderId="0" xfId="0" applyNumberFormat="1" applyFont="1" applyFill="1"/>
    <xf numFmtId="0" fontId="33" fillId="13" borderId="0" xfId="0" applyFont="1" applyFill="1"/>
    <xf numFmtId="0" fontId="1" fillId="13" borderId="0" xfId="0" applyFont="1" applyFill="1"/>
    <xf numFmtId="0" fontId="29" fillId="13" borderId="0" xfId="0" applyFont="1" applyFill="1"/>
    <xf numFmtId="0" fontId="34" fillId="13" borderId="0" xfId="0" applyFont="1" applyFill="1"/>
    <xf numFmtId="0" fontId="35" fillId="13" borderId="0" xfId="0" applyFont="1" applyFill="1"/>
    <xf numFmtId="43" fontId="36" fillId="13" borderId="0" xfId="0" applyNumberFormat="1" applyFont="1" applyFill="1" applyAlignment="1">
      <alignment horizontal="center" wrapText="1"/>
    </xf>
    <xf numFmtId="0" fontId="29" fillId="0" borderId="17" xfId="0" applyFont="1" applyBorder="1"/>
    <xf numFmtId="0" fontId="37" fillId="13" borderId="0" xfId="0" applyFont="1" applyFill="1"/>
    <xf numFmtId="0" fontId="35" fillId="13" borderId="18" xfId="6" applyFont="1" applyFill="1" applyBorder="1" applyAlignment="1">
      <alignment horizontal="left" indent="4"/>
    </xf>
    <xf numFmtId="3" fontId="35" fillId="13" borderId="0" xfId="6" applyNumberFormat="1" applyFont="1" applyFill="1" applyBorder="1" applyAlignment="1"/>
    <xf numFmtId="3" fontId="29" fillId="13" borderId="0" xfId="0" applyNumberFormat="1" applyFont="1" applyFill="1"/>
    <xf numFmtId="7" fontId="34" fillId="13" borderId="11" xfId="10" applyNumberFormat="1" applyFont="1" applyFill="1" applyBorder="1"/>
    <xf numFmtId="44" fontId="29" fillId="13" borderId="11" xfId="10" applyFont="1" applyFill="1" applyBorder="1"/>
    <xf numFmtId="0" fontId="29" fillId="0" borderId="19" xfId="0" applyFont="1" applyBorder="1"/>
    <xf numFmtId="43" fontId="34" fillId="13" borderId="12" xfId="10" applyNumberFormat="1" applyFont="1" applyFill="1" applyBorder="1"/>
    <xf numFmtId="43" fontId="29" fillId="13" borderId="12" xfId="10" applyNumberFormat="1" applyFont="1" applyFill="1" applyBorder="1"/>
    <xf numFmtId="7" fontId="34" fillId="13" borderId="12" xfId="10" applyNumberFormat="1" applyFont="1" applyFill="1" applyBorder="1"/>
    <xf numFmtId="43" fontId="29" fillId="13" borderId="20" xfId="0" applyNumberFormat="1" applyFont="1" applyFill="1" applyBorder="1"/>
    <xf numFmtId="0" fontId="35" fillId="13" borderId="21" xfId="6" applyFont="1" applyFill="1" applyBorder="1" applyAlignment="1">
      <alignment horizontal="left" indent="4"/>
    </xf>
    <xf numFmtId="3" fontId="35" fillId="13" borderId="6" xfId="6" applyNumberFormat="1" applyFont="1" applyFill="1" applyBorder="1" applyAlignment="1"/>
    <xf numFmtId="0" fontId="29" fillId="0" borderId="22" xfId="0" applyFont="1" applyBorder="1"/>
    <xf numFmtId="43" fontId="34" fillId="13" borderId="15" xfId="10" applyNumberFormat="1" applyFont="1" applyFill="1" applyBorder="1"/>
    <xf numFmtId="43" fontId="29" fillId="13" borderId="15" xfId="10" applyNumberFormat="1" applyFont="1" applyFill="1" applyBorder="1"/>
    <xf numFmtId="43" fontId="34" fillId="13" borderId="0" xfId="10" applyNumberFormat="1" applyFont="1" applyFill="1"/>
    <xf numFmtId="44" fontId="29" fillId="13" borderId="0" xfId="0" applyNumberFormat="1" applyFont="1" applyFill="1"/>
    <xf numFmtId="7" fontId="34" fillId="13" borderId="5" xfId="10" applyNumberFormat="1" applyFont="1" applyFill="1" applyBorder="1"/>
    <xf numFmtId="9" fontId="29" fillId="13" borderId="0" xfId="0" applyNumberFormat="1" applyFont="1" applyFill="1"/>
    <xf numFmtId="0" fontId="29" fillId="14" borderId="0" xfId="0" applyFont="1" applyFill="1"/>
    <xf numFmtId="8" fontId="29" fillId="13" borderId="5" xfId="0" applyNumberFormat="1" applyFont="1" applyFill="1" applyBorder="1"/>
    <xf numFmtId="8" fontId="29" fillId="13" borderId="0" xfId="0" applyNumberFormat="1" applyFont="1" applyFill="1"/>
    <xf numFmtId="43" fontId="29" fillId="13" borderId="23" xfId="0" applyNumberFormat="1" applyFont="1" applyFill="1" applyBorder="1"/>
    <xf numFmtId="8" fontId="29" fillId="13" borderId="24" xfId="0" applyNumberFormat="1" applyFont="1" applyFill="1" applyBorder="1"/>
    <xf numFmtId="43" fontId="29" fillId="13" borderId="0" xfId="0" applyNumberFormat="1" applyFont="1" applyFill="1"/>
    <xf numFmtId="7" fontId="38" fillId="0" borderId="0" xfId="34" applyNumberFormat="1" applyFont="1" applyAlignment="1">
      <alignment horizontal="right"/>
    </xf>
    <xf numFmtId="43" fontId="34" fillId="13" borderId="0" xfId="0" applyNumberFormat="1" applyFont="1" applyFill="1"/>
    <xf numFmtId="8" fontId="29" fillId="0" borderId="0" xfId="0" applyNumberFormat="1" applyFont="1"/>
    <xf numFmtId="171" fontId="29" fillId="0" borderId="0" xfId="8" applyNumberFormat="1" applyFont="1"/>
    <xf numFmtId="0" fontId="39" fillId="13" borderId="0" xfId="0" applyFont="1" applyFill="1"/>
    <xf numFmtId="10" fontId="39" fillId="13" borderId="0" xfId="0" applyNumberFormat="1" applyFont="1" applyFill="1"/>
    <xf numFmtId="43" fontId="39" fillId="13" borderId="0" xfId="0" applyNumberFormat="1" applyFont="1" applyFill="1"/>
    <xf numFmtId="10" fontId="1" fillId="13" borderId="0" xfId="0" applyNumberFormat="1" applyFont="1" applyFill="1"/>
    <xf numFmtId="43" fontId="1" fillId="13" borderId="0" xfId="0" applyNumberFormat="1" applyFont="1" applyFill="1"/>
    <xf numFmtId="0" fontId="1" fillId="0" borderId="0" xfId="0" applyFont="1"/>
    <xf numFmtId="0" fontId="13" fillId="13" borderId="0" xfId="0" applyFont="1" applyFill="1"/>
    <xf numFmtId="0" fontId="1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10" fontId="33" fillId="0" borderId="0" xfId="0" applyNumberFormat="1" applyFont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43" fontId="33" fillId="0" borderId="0" xfId="0" applyNumberFormat="1" applyFont="1" applyAlignment="1">
      <alignment horizontal="center" wrapText="1"/>
    </xf>
    <xf numFmtId="0" fontId="1" fillId="0" borderId="17" xfId="0" applyFont="1" applyFill="1" applyBorder="1"/>
    <xf numFmtId="0" fontId="40" fillId="0" borderId="7" xfId="0" applyFont="1" applyFill="1" applyBorder="1" applyAlignment="1">
      <alignment horizontal="left" indent="1"/>
    </xf>
    <xf numFmtId="3" fontId="1" fillId="0" borderId="7" xfId="0" applyNumberFormat="1" applyFont="1" applyFill="1" applyBorder="1"/>
    <xf numFmtId="10" fontId="1" fillId="0" borderId="7" xfId="8" applyNumberFormat="1" applyFont="1" applyFill="1" applyBorder="1"/>
    <xf numFmtId="7" fontId="1" fillId="0" borderId="8" xfId="9" applyNumberFormat="1" applyFont="1" applyBorder="1"/>
    <xf numFmtId="7" fontId="1" fillId="0" borderId="9" xfId="9" applyNumberFormat="1" applyFont="1" applyBorder="1"/>
    <xf numFmtId="7" fontId="1" fillId="0" borderId="11" xfId="10" applyNumberFormat="1" applyFont="1" applyFill="1" applyBorder="1"/>
    <xf numFmtId="0" fontId="41" fillId="13" borderId="18" xfId="6" applyFont="1" applyFill="1" applyBorder="1" applyAlignment="1">
      <alignment horizontal="left" indent="4"/>
    </xf>
    <xf numFmtId="3" fontId="41" fillId="13" borderId="0" xfId="6" applyNumberFormat="1" applyFont="1" applyFill="1" applyBorder="1" applyAlignment="1"/>
    <xf numFmtId="3" fontId="1" fillId="13" borderId="0" xfId="0" applyNumberFormat="1" applyFont="1" applyFill="1"/>
    <xf numFmtId="169" fontId="1" fillId="13" borderId="0" xfId="0" applyNumberFormat="1" applyFont="1" applyFill="1"/>
    <xf numFmtId="7" fontId="1" fillId="13" borderId="0" xfId="0" applyNumberFormat="1" applyFont="1" applyFill="1"/>
    <xf numFmtId="0" fontId="1" fillId="0" borderId="19" xfId="0" applyFont="1" applyFill="1" applyBorder="1"/>
    <xf numFmtId="0" fontId="40" fillId="0" borderId="8" xfId="0" applyFont="1" applyFill="1" applyBorder="1" applyAlignment="1">
      <alignment horizontal="left" indent="1"/>
    </xf>
    <xf numFmtId="3" fontId="1" fillId="0" borderId="8" xfId="0" applyNumberFormat="1" applyFont="1" applyFill="1" applyBorder="1"/>
    <xf numFmtId="10" fontId="1" fillId="0" borderId="8" xfId="8" applyNumberFormat="1" applyFont="1" applyFill="1" applyBorder="1"/>
    <xf numFmtId="43" fontId="1" fillId="0" borderId="8" xfId="9" applyFont="1" applyBorder="1"/>
    <xf numFmtId="43" fontId="1" fillId="0" borderId="9" xfId="9" applyFont="1" applyBorder="1"/>
    <xf numFmtId="43" fontId="1" fillId="0" borderId="12" xfId="10" applyNumberFormat="1" applyFont="1" applyFill="1" applyBorder="1"/>
    <xf numFmtId="0" fontId="1" fillId="0" borderId="0" xfId="0" applyFont="1" applyFill="1"/>
    <xf numFmtId="0" fontId="1" fillId="0" borderId="22" xfId="0" applyFont="1" applyFill="1" applyBorder="1"/>
    <xf numFmtId="0" fontId="40" fillId="0" borderId="13" xfId="0" applyFont="1" applyFill="1" applyBorder="1" applyAlignment="1">
      <alignment horizontal="left" indent="1"/>
    </xf>
    <xf numFmtId="3" fontId="1" fillId="0" borderId="13" xfId="0" applyNumberFormat="1" applyFont="1" applyFill="1" applyBorder="1"/>
    <xf numFmtId="10" fontId="1" fillId="0" borderId="13" xfId="8" applyNumberFormat="1" applyFont="1" applyFill="1" applyBorder="1"/>
    <xf numFmtId="43" fontId="1" fillId="0" borderId="13" xfId="9" applyFont="1" applyBorder="1"/>
    <xf numFmtId="43" fontId="1" fillId="0" borderId="15" xfId="10" applyNumberFormat="1" applyFont="1" applyFill="1" applyBorder="1"/>
    <xf numFmtId="0" fontId="41" fillId="13" borderId="21" xfId="6" applyFont="1" applyFill="1" applyBorder="1" applyAlignment="1">
      <alignment horizontal="left" indent="4"/>
    </xf>
    <xf numFmtId="3" fontId="41" fillId="13" borderId="6" xfId="6" applyNumberFormat="1" applyFont="1" applyFill="1" applyBorder="1" applyAlignment="1"/>
    <xf numFmtId="0" fontId="1" fillId="0" borderId="0" xfId="0" applyFont="1" applyFill="1" applyBorder="1"/>
    <xf numFmtId="0" fontId="40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/>
    <xf numFmtId="10" fontId="1" fillId="0" borderId="0" xfId="8" applyNumberFormat="1" applyFont="1" applyFill="1" applyBorder="1"/>
    <xf numFmtId="43" fontId="1" fillId="0" borderId="0" xfId="9" applyFont="1" applyBorder="1"/>
    <xf numFmtId="43" fontId="1" fillId="0" borderId="0" xfId="10" applyNumberFormat="1" applyFont="1" applyFill="1" applyBorder="1"/>
    <xf numFmtId="0" fontId="1" fillId="0" borderId="0" xfId="0" applyFont="1" applyBorder="1"/>
    <xf numFmtId="0" fontId="40" fillId="0" borderId="0" xfId="0" applyFont="1" applyFill="1" applyBorder="1" applyAlignment="1">
      <alignment horizontal="left"/>
    </xf>
    <xf numFmtId="3" fontId="1" fillId="0" borderId="0" xfId="0" applyNumberFormat="1" applyFont="1" applyBorder="1"/>
    <xf numFmtId="10" fontId="1" fillId="0" borderId="0" xfId="0" applyNumberFormat="1" applyFont="1" applyBorder="1"/>
    <xf numFmtId="169" fontId="1" fillId="0" borderId="0" xfId="0" applyNumberFormat="1" applyFont="1"/>
    <xf numFmtId="43" fontId="1" fillId="0" borderId="5" xfId="10" applyNumberFormat="1" applyFont="1" applyBorder="1"/>
    <xf numFmtId="43" fontId="1" fillId="0" borderId="0" xfId="0" applyNumberFormat="1" applyFont="1"/>
    <xf numFmtId="0" fontId="33" fillId="0" borderId="0" xfId="0" applyFont="1" applyAlignment="1">
      <alignment horizontal="right"/>
    </xf>
    <xf numFmtId="43" fontId="33" fillId="0" borderId="0" xfId="10" applyNumberFormat="1" applyFont="1" applyBorder="1"/>
    <xf numFmtId="3" fontId="1" fillId="0" borderId="6" xfId="0" applyNumberFormat="1" applyFont="1" applyBorder="1"/>
    <xf numFmtId="3" fontId="1" fillId="0" borderId="0" xfId="0" applyNumberFormat="1" applyFont="1"/>
    <xf numFmtId="10" fontId="1" fillId="0" borderId="0" xfId="0" applyNumberFormat="1" applyFont="1"/>
    <xf numFmtId="0" fontId="1" fillId="14" borderId="0" xfId="0" applyFont="1" applyFill="1"/>
    <xf numFmtId="0" fontId="13" fillId="0" borderId="0" xfId="0" applyFont="1"/>
    <xf numFmtId="43" fontId="1" fillId="0" borderId="0" xfId="9" applyNumberFormat="1" applyFont="1"/>
    <xf numFmtId="7" fontId="1" fillId="0" borderId="0" xfId="0" applyNumberFormat="1" applyFont="1"/>
    <xf numFmtId="43" fontId="1" fillId="0" borderId="0" xfId="9" applyFont="1"/>
    <xf numFmtId="44" fontId="1" fillId="0" borderId="0" xfId="0" applyNumberFormat="1" applyFont="1" applyFill="1" applyBorder="1"/>
    <xf numFmtId="0" fontId="40" fillId="0" borderId="0" xfId="0" applyFont="1" applyFill="1" applyAlignment="1">
      <alignment horizontal="left"/>
    </xf>
    <xf numFmtId="43" fontId="1" fillId="0" borderId="0" xfId="0" applyNumberFormat="1" applyFont="1" applyBorder="1"/>
    <xf numFmtId="8" fontId="1" fillId="0" borderId="6" xfId="0" applyNumberFormat="1" applyFont="1" applyFill="1" applyBorder="1"/>
    <xf numFmtId="8" fontId="1" fillId="0" borderId="5" xfId="0" applyNumberFormat="1" applyFont="1" applyBorder="1"/>
    <xf numFmtId="170" fontId="1" fillId="0" borderId="0" xfId="0" applyNumberFormat="1" applyFont="1"/>
    <xf numFmtId="0" fontId="42" fillId="0" borderId="0" xfId="0" applyFont="1" applyFill="1" applyBorder="1" applyAlignment="1">
      <alignment horizontal="right"/>
    </xf>
    <xf numFmtId="7" fontId="43" fillId="0" borderId="0" xfId="34" applyNumberFormat="1" applyFont="1" applyFill="1" applyBorder="1" applyAlignment="1">
      <alignment horizontal="right"/>
    </xf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8" fontId="1" fillId="13" borderId="0" xfId="0" applyNumberFormat="1" applyFont="1" applyFill="1"/>
    <xf numFmtId="171" fontId="1" fillId="13" borderId="0" xfId="8" applyNumberFormat="1" applyFont="1" applyFill="1"/>
    <xf numFmtId="49" fontId="4" fillId="15" borderId="0" xfId="0" applyNumberFormat="1" applyFont="1" applyFill="1"/>
    <xf numFmtId="41" fontId="0" fillId="15" borderId="0" xfId="0" applyNumberFormat="1" applyFont="1" applyFill="1" applyBorder="1"/>
    <xf numFmtId="0" fontId="0" fillId="15" borderId="0" xfId="0" applyFont="1" applyFill="1"/>
    <xf numFmtId="0" fontId="4" fillId="15" borderId="0" xfId="0" applyFont="1" applyFill="1"/>
    <xf numFmtId="41" fontId="0" fillId="15" borderId="6" xfId="0" applyNumberFormat="1" applyFont="1" applyFill="1" applyBorder="1"/>
    <xf numFmtId="0" fontId="16" fillId="15" borderId="0" xfId="0" applyFont="1" applyFill="1"/>
    <xf numFmtId="166" fontId="0" fillId="15" borderId="5" xfId="12" applyNumberFormat="1" applyFont="1" applyFill="1" applyBorder="1"/>
    <xf numFmtId="41" fontId="16" fillId="15" borderId="0" xfId="0" applyNumberFormat="1" applyFont="1" applyFill="1"/>
    <xf numFmtId="41" fontId="0" fillId="15" borderId="0" xfId="0" applyNumberFormat="1" applyFont="1" applyFill="1" applyAlignment="1">
      <alignment horizontal="right"/>
    </xf>
    <xf numFmtId="0" fontId="18" fillId="15" borderId="0" xfId="0" applyFont="1" applyFill="1"/>
    <xf numFmtId="0" fontId="19" fillId="15" borderId="0" xfId="0" applyFont="1" applyFill="1"/>
    <xf numFmtId="0" fontId="20" fillId="15" borderId="0" xfId="0" applyFont="1" applyFill="1"/>
    <xf numFmtId="44" fontId="4" fillId="0" borderId="0" xfId="12" applyFont="1" applyFill="1" applyAlignment="1">
      <alignment horizontal="center"/>
    </xf>
    <xf numFmtId="44" fontId="0" fillId="0" borderId="0" xfId="12" applyFont="1" applyAlignment="1">
      <alignment horizontal="right"/>
    </xf>
    <xf numFmtId="44" fontId="4" fillId="0" borderId="0" xfId="12" applyFont="1" applyFill="1" applyAlignment="1"/>
    <xf numFmtId="44" fontId="4" fillId="0" borderId="0" xfId="12" applyFont="1" applyAlignment="1">
      <alignment horizontal="center"/>
    </xf>
    <xf numFmtId="44" fontId="15" fillId="0" borderId="2" xfId="12" applyFont="1" applyFill="1" applyBorder="1" applyAlignment="1">
      <alignment horizontal="center" wrapText="1"/>
    </xf>
    <xf numFmtId="44" fontId="4" fillId="0" borderId="2" xfId="12" applyFont="1" applyFill="1" applyBorder="1" applyAlignment="1">
      <alignment horizontal="center" wrapText="1"/>
    </xf>
    <xf numFmtId="44" fontId="0" fillId="0" borderId="0" xfId="12" applyFont="1" applyAlignment="1">
      <alignment horizontal="center"/>
    </xf>
    <xf numFmtId="44" fontId="0" fillId="0" borderId="0" xfId="12" applyFont="1" applyFill="1"/>
    <xf numFmtId="44" fontId="0" fillId="0" borderId="6" xfId="12" applyFont="1" applyFill="1" applyBorder="1"/>
    <xf numFmtId="44" fontId="0" fillId="0" borderId="6" xfId="12" applyFont="1" applyBorder="1" applyAlignment="1">
      <alignment horizontal="right"/>
    </xf>
    <xf numFmtId="44" fontId="0" fillId="0" borderId="6" xfId="12" applyFont="1" applyBorder="1"/>
    <xf numFmtId="44" fontId="0" fillId="0" borderId="0" xfId="12" applyFont="1" applyFill="1" applyBorder="1"/>
    <xf numFmtId="44" fontId="0" fillId="12" borderId="0" xfId="12" applyFont="1" applyFill="1"/>
    <xf numFmtId="44" fontId="0" fillId="0" borderId="0" xfId="12" applyFont="1" applyFill="1" applyAlignment="1">
      <alignment horizontal="right"/>
    </xf>
    <xf numFmtId="44" fontId="0" fillId="0" borderId="4" xfId="12" applyFont="1" applyFill="1" applyBorder="1" applyAlignment="1">
      <alignment horizontal="right"/>
    </xf>
    <xf numFmtId="44" fontId="0" fillId="0" borderId="4" xfId="12" applyFont="1" applyBorder="1" applyAlignment="1">
      <alignment horizontal="right"/>
    </xf>
    <xf numFmtId="44" fontId="0" fillId="0" borderId="4" xfId="12" applyFont="1" applyBorder="1"/>
    <xf numFmtId="44" fontId="0" fillId="0" borderId="0" xfId="12" applyFont="1" applyBorder="1"/>
    <xf numFmtId="44" fontId="0" fillId="0" borderId="2" xfId="12" applyFont="1" applyFill="1" applyBorder="1"/>
    <xf numFmtId="44" fontId="0" fillId="0" borderId="2" xfId="12" applyFont="1" applyFill="1" applyBorder="1" applyAlignment="1">
      <alignment horizontal="right"/>
    </xf>
    <xf numFmtId="44" fontId="0" fillId="11" borderId="2" xfId="12" applyFont="1" applyFill="1" applyBorder="1"/>
    <xf numFmtId="44" fontId="0" fillId="0" borderId="2" xfId="12" applyFont="1" applyBorder="1" applyAlignment="1">
      <alignment horizontal="right"/>
    </xf>
    <xf numFmtId="44" fontId="3" fillId="0" borderId="2" xfId="12" applyFont="1" applyFill="1" applyBorder="1"/>
    <xf numFmtId="44" fontId="0" fillId="11" borderId="0" xfId="12" applyFont="1" applyFill="1" applyAlignment="1">
      <alignment horizontal="right"/>
    </xf>
    <xf numFmtId="44" fontId="0" fillId="11" borderId="0" xfId="12" applyFont="1" applyFill="1"/>
    <xf numFmtId="44" fontId="14" fillId="0" borderId="0" xfId="12" applyFont="1" applyFill="1"/>
    <xf numFmtId="44" fontId="14" fillId="0" borderId="0" xfId="12" applyFont="1" applyFill="1" applyAlignment="1">
      <alignment horizontal="right"/>
    </xf>
    <xf numFmtId="44" fontId="0" fillId="0" borderId="4" xfId="12" applyFont="1" applyFill="1" applyBorder="1"/>
    <xf numFmtId="44" fontId="0" fillId="0" borderId="3" xfId="12" applyFont="1" applyBorder="1"/>
    <xf numFmtId="44" fontId="0" fillId="0" borderId="3" xfId="12" applyFont="1" applyFill="1" applyBorder="1"/>
    <xf numFmtId="44" fontId="0" fillId="15" borderId="0" xfId="12" applyFont="1" applyFill="1" applyBorder="1"/>
    <xf numFmtId="44" fontId="0" fillId="15" borderId="0" xfId="12" applyFont="1" applyFill="1"/>
    <xf numFmtId="44" fontId="0" fillId="15" borderId="6" xfId="12" applyFont="1" applyFill="1" applyBorder="1"/>
    <xf numFmtId="44" fontId="0" fillId="15" borderId="5" xfId="12" applyFont="1" applyFill="1" applyBorder="1" applyAlignment="1">
      <alignment horizontal="right"/>
    </xf>
    <xf numFmtId="44" fontId="0" fillId="15" borderId="5" xfId="12" applyFont="1" applyFill="1" applyBorder="1"/>
    <xf numFmtId="44" fontId="4" fillId="15" borderId="0" xfId="12" applyFont="1" applyFill="1"/>
    <xf numFmtId="44" fontId="4" fillId="15" borderId="0" xfId="12" applyFont="1" applyFill="1" applyBorder="1"/>
    <xf numFmtId="44" fontId="16" fillId="15" borderId="0" xfId="12" applyFont="1" applyFill="1"/>
    <xf numFmtId="44" fontId="0" fillId="15" borderId="0" xfId="12" applyFont="1" applyFill="1" applyAlignment="1">
      <alignment horizontal="right"/>
    </xf>
    <xf numFmtId="44" fontId="3" fillId="15" borderId="0" xfId="12" applyFont="1" applyFill="1"/>
    <xf numFmtId="44" fontId="3" fillId="0" borderId="0" xfId="12" applyFont="1" applyFill="1" applyAlignment="1">
      <alignment horizontal="right"/>
    </xf>
    <xf numFmtId="44" fontId="3" fillId="0" borderId="0" xfId="12" applyFont="1" applyAlignment="1">
      <alignment horizontal="right"/>
    </xf>
    <xf numFmtId="44" fontId="3" fillId="0" borderId="0" xfId="12" applyFont="1"/>
    <xf numFmtId="44" fontId="3" fillId="0" borderId="0" xfId="12" applyFont="1" applyFill="1"/>
    <xf numFmtId="44" fontId="24" fillId="0" borderId="0" xfId="12" applyFont="1" applyAlignment="1">
      <alignment horizontal="right"/>
    </xf>
    <xf numFmtId="44" fontId="25" fillId="0" borderId="0" xfId="12" applyFont="1" applyFill="1"/>
    <xf numFmtId="44" fontId="24" fillId="0" borderId="0" xfId="12" applyFont="1"/>
    <xf numFmtId="44" fontId="26" fillId="0" borderId="0" xfId="12" applyFont="1" applyAlignment="1">
      <alignment horizontal="right"/>
    </xf>
    <xf numFmtId="49" fontId="4" fillId="12" borderId="0" xfId="0" applyNumberFormat="1" applyFont="1" applyFill="1"/>
    <xf numFmtId="41" fontId="0" fillId="12" borderId="0" xfId="0" applyNumberFormat="1" applyFont="1" applyFill="1" applyBorder="1"/>
    <xf numFmtId="44" fontId="0" fillId="12" borderId="0" xfId="12" applyFont="1" applyFill="1" applyBorder="1"/>
    <xf numFmtId="0" fontId="0" fillId="12" borderId="0" xfId="0" applyFont="1" applyFill="1"/>
    <xf numFmtId="41" fontId="0" fillId="12" borderId="0" xfId="0" applyNumberFormat="1" applyFont="1" applyFill="1" applyAlignment="1">
      <alignment horizontal="right"/>
    </xf>
    <xf numFmtId="44" fontId="0" fillId="12" borderId="0" xfId="12" applyFont="1" applyFill="1" applyAlignment="1">
      <alignment horizontal="right"/>
    </xf>
    <xf numFmtId="49" fontId="4" fillId="3" borderId="0" xfId="0" applyNumberFormat="1" applyFont="1" applyFill="1"/>
    <xf numFmtId="41" fontId="0" fillId="3" borderId="0" xfId="0" applyNumberFormat="1" applyFont="1" applyFill="1" applyAlignment="1">
      <alignment horizontal="right"/>
    </xf>
    <xf numFmtId="44" fontId="0" fillId="3" borderId="0" xfId="12" applyFont="1" applyFill="1"/>
    <xf numFmtId="44" fontId="0" fillId="3" borderId="0" xfId="12" applyFont="1" applyFill="1" applyAlignment="1">
      <alignment horizontal="right"/>
    </xf>
    <xf numFmtId="44" fontId="0" fillId="3" borderId="0" xfId="12" applyFont="1" applyFill="1" applyBorder="1"/>
    <xf numFmtId="0" fontId="0" fillId="3" borderId="0" xfId="0" applyFont="1" applyFill="1"/>
    <xf numFmtId="41" fontId="0" fillId="4" borderId="0" xfId="0" applyNumberFormat="1" applyFont="1" applyFill="1" applyAlignment="1">
      <alignment horizontal="right"/>
    </xf>
    <xf numFmtId="44" fontId="0" fillId="4" borderId="0" xfId="12" applyFont="1" applyFill="1"/>
    <xf numFmtId="44" fontId="0" fillId="4" borderId="0" xfId="12" applyFont="1" applyFill="1" applyAlignment="1">
      <alignment horizontal="right"/>
    </xf>
    <xf numFmtId="44" fontId="0" fillId="4" borderId="0" xfId="12" applyFont="1" applyFill="1" applyBorder="1"/>
    <xf numFmtId="44" fontId="0" fillId="4" borderId="0" xfId="12" applyFont="1" applyFill="1" applyAlignment="1">
      <alignment vertical="top"/>
    </xf>
    <xf numFmtId="0" fontId="0" fillId="4" borderId="0" xfId="0" applyFont="1" applyFill="1"/>
    <xf numFmtId="44" fontId="0" fillId="4" borderId="2" xfId="12" applyFont="1" applyFill="1" applyBorder="1"/>
    <xf numFmtId="49" fontId="4" fillId="10" borderId="0" xfId="0" applyNumberFormat="1" applyFont="1" applyFill="1"/>
    <xf numFmtId="41" fontId="0" fillId="10" borderId="2" xfId="0" applyNumberFormat="1" applyFont="1" applyFill="1" applyBorder="1" applyAlignment="1">
      <alignment horizontal="right"/>
    </xf>
    <xf numFmtId="44" fontId="0" fillId="10" borderId="2" xfId="12" applyFont="1" applyFill="1" applyBorder="1"/>
    <xf numFmtId="44" fontId="0" fillId="10" borderId="2" xfId="12" applyFont="1" applyFill="1" applyBorder="1" applyAlignment="1">
      <alignment horizontal="right"/>
    </xf>
    <xf numFmtId="44" fontId="0" fillId="10" borderId="0" xfId="12" applyFont="1" applyFill="1"/>
    <xf numFmtId="0" fontId="0" fillId="10" borderId="0" xfId="0" applyFont="1" applyFill="1"/>
    <xf numFmtId="41" fontId="0" fillId="10" borderId="0" xfId="0" applyNumberFormat="1" applyFont="1" applyFill="1" applyAlignment="1">
      <alignment horizontal="right"/>
    </xf>
    <xf numFmtId="44" fontId="0" fillId="10" borderId="0" xfId="12" applyFont="1" applyFill="1" applyBorder="1"/>
    <xf numFmtId="44" fontId="0" fillId="10" borderId="0" xfId="12" applyFont="1" applyFill="1" applyAlignment="1">
      <alignment horizontal="right"/>
    </xf>
    <xf numFmtId="44" fontId="0" fillId="10" borderId="0" xfId="12" applyFont="1" applyFill="1" applyBorder="1" applyAlignment="1">
      <alignment horizontal="right"/>
    </xf>
    <xf numFmtId="0" fontId="16" fillId="10" borderId="0" xfId="0" applyFont="1" applyFill="1"/>
    <xf numFmtId="9" fontId="0" fillId="0" borderId="0" xfId="25" applyFont="1"/>
    <xf numFmtId="9" fontId="0" fillId="0" borderId="6" xfId="25" applyFont="1" applyBorder="1"/>
    <xf numFmtId="9" fontId="0" fillId="12" borderId="0" xfId="25" applyFont="1" applyFill="1" applyBorder="1"/>
    <xf numFmtId="9" fontId="0" fillId="0" borderId="0" xfId="25" applyFont="1" applyFill="1" applyBorder="1"/>
    <xf numFmtId="9" fontId="0" fillId="3" borderId="0" xfId="25" applyFont="1" applyFill="1" applyBorder="1"/>
    <xf numFmtId="9" fontId="0" fillId="4" borderId="0" xfId="25" applyFont="1" applyFill="1" applyBorder="1"/>
    <xf numFmtId="9" fontId="0" fillId="0" borderId="4" xfId="25" applyFont="1" applyBorder="1" applyAlignment="1">
      <alignment horizontal="right"/>
    </xf>
    <xf numFmtId="9" fontId="0" fillId="10" borderId="2" xfId="25" applyFont="1" applyFill="1" applyBorder="1"/>
    <xf numFmtId="9" fontId="0" fillId="0" borderId="0" xfId="25" applyFont="1" applyFill="1" applyAlignment="1">
      <alignment horizontal="right"/>
    </xf>
    <xf numFmtId="9" fontId="0" fillId="4" borderId="2" xfId="25" applyFont="1" applyFill="1" applyBorder="1"/>
    <xf numFmtId="9" fontId="0" fillId="0" borderId="0" xfId="25" applyFont="1" applyAlignment="1">
      <alignment horizontal="right"/>
    </xf>
    <xf numFmtId="9" fontId="0" fillId="0" borderId="2" xfId="25" applyFont="1" applyFill="1" applyBorder="1"/>
    <xf numFmtId="9" fontId="0" fillId="0" borderId="0" xfId="25" applyFont="1" applyFill="1"/>
    <xf numFmtId="9" fontId="0" fillId="0" borderId="0" xfId="25" applyFont="1" applyBorder="1"/>
    <xf numFmtId="9" fontId="0" fillId="0" borderId="2" xfId="25" applyFont="1" applyBorder="1"/>
    <xf numFmtId="9" fontId="0" fillId="10" borderId="0" xfId="25" applyFont="1" applyFill="1" applyBorder="1"/>
    <xf numFmtId="9" fontId="0" fillId="10" borderId="0" xfId="25" applyFont="1" applyFill="1"/>
    <xf numFmtId="9" fontId="14" fillId="0" borderId="0" xfId="25" applyFont="1" applyFill="1" applyBorder="1"/>
    <xf numFmtId="9" fontId="0" fillId="0" borderId="4" xfId="25" applyFont="1" applyBorder="1"/>
    <xf numFmtId="9" fontId="0" fillId="0" borderId="3" xfId="25" applyFont="1" applyFill="1" applyBorder="1"/>
    <xf numFmtId="9" fontId="0" fillId="15" borderId="0" xfId="25" applyFont="1" applyFill="1" applyBorder="1"/>
    <xf numFmtId="9" fontId="0" fillId="15" borderId="0" xfId="25" applyFont="1" applyFill="1"/>
    <xf numFmtId="9" fontId="0" fillId="15" borderId="6" xfId="25" applyFont="1" applyFill="1" applyBorder="1"/>
    <xf numFmtId="9" fontId="0" fillId="12" borderId="0" xfId="25" applyFont="1" applyFill="1"/>
    <xf numFmtId="9" fontId="0" fillId="15" borderId="5" xfId="25" applyFont="1" applyFill="1" applyBorder="1" applyAlignment="1">
      <alignment horizontal="right"/>
    </xf>
    <xf numFmtId="9" fontId="0" fillId="15" borderId="0" xfId="25" applyFont="1" applyFill="1" applyAlignment="1">
      <alignment horizontal="right"/>
    </xf>
    <xf numFmtId="9" fontId="3" fillId="0" borderId="0" xfId="25" applyFont="1" applyAlignment="1">
      <alignment horizontal="right"/>
    </xf>
    <xf numFmtId="9" fontId="3" fillId="0" borderId="0" xfId="25" applyFont="1"/>
    <xf numFmtId="9" fontId="24" fillId="0" borderId="0" xfId="25" applyFont="1"/>
    <xf numFmtId="42" fontId="0" fillId="0" borderId="0" xfId="0" applyNumberFormat="1" applyFont="1" applyBorder="1"/>
    <xf numFmtId="42" fontId="0" fillId="0" borderId="6" xfId="0" applyNumberFormat="1" applyFont="1" applyBorder="1"/>
    <xf numFmtId="49" fontId="4" fillId="0" borderId="0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1" fontId="0" fillId="4" borderId="0" xfId="0" applyNumberFormat="1" applyFont="1" applyFill="1"/>
    <xf numFmtId="41" fontId="0" fillId="6" borderId="0" xfId="0" applyNumberFormat="1" applyFont="1" applyFill="1"/>
    <xf numFmtId="41" fontId="0" fillId="0" borderId="0" xfId="0" applyNumberFormat="1" applyFont="1" applyBorder="1" applyAlignment="1">
      <alignment horizontal="right"/>
    </xf>
    <xf numFmtId="41" fontId="0" fillId="5" borderId="0" xfId="0" applyNumberFormat="1" applyFont="1" applyFill="1" applyBorder="1"/>
    <xf numFmtId="41" fontId="0" fillId="9" borderId="0" xfId="0" applyNumberFormat="1" applyFont="1" applyFill="1" applyAlignment="1">
      <alignment horizontal="right"/>
    </xf>
    <xf numFmtId="41" fontId="0" fillId="6" borderId="2" xfId="0" applyNumberFormat="1" applyFont="1" applyFill="1" applyBorder="1"/>
    <xf numFmtId="41" fontId="0" fillId="0" borderId="2" xfId="0" applyNumberFormat="1" applyFont="1" applyBorder="1"/>
    <xf numFmtId="41" fontId="0" fillId="11" borderId="0" xfId="0" applyNumberFormat="1" applyFont="1" applyFill="1" applyBorder="1"/>
    <xf numFmtId="41" fontId="0" fillId="2" borderId="3" xfId="0" applyNumberFormat="1" applyFont="1" applyFill="1" applyBorder="1"/>
    <xf numFmtId="41" fontId="4" fillId="0" borderId="0" xfId="0" applyNumberFormat="1" applyFont="1" applyBorder="1"/>
    <xf numFmtId="44" fontId="15" fillId="0" borderId="0" xfId="12" applyFont="1" applyFill="1"/>
    <xf numFmtId="44" fontId="0" fillId="0" borderId="0" xfId="12" applyFont="1" applyFill="1" applyAlignment="1">
      <alignment horizontal="left"/>
    </xf>
    <xf numFmtId="44" fontId="0" fillId="15" borderId="0" xfId="12" applyFont="1" applyFill="1" applyBorder="1" applyAlignment="1">
      <alignment horizontal="right"/>
    </xf>
    <xf numFmtId="0" fontId="29" fillId="0" borderId="0" xfId="0" applyFont="1" applyFill="1"/>
    <xf numFmtId="43" fontId="29" fillId="0" borderId="0" xfId="0" applyNumberFormat="1" applyFont="1" applyFill="1"/>
    <xf numFmtId="0" fontId="29" fillId="16" borderId="0" xfId="0" applyFont="1" applyFill="1"/>
    <xf numFmtId="0" fontId="29" fillId="16" borderId="0" xfId="0" applyFont="1" applyFill="1" applyAlignment="1">
      <alignment wrapText="1"/>
    </xf>
    <xf numFmtId="7" fontId="29" fillId="16" borderId="25" xfId="0" applyNumberFormat="1" applyFont="1" applyFill="1" applyBorder="1"/>
    <xf numFmtId="43" fontId="29" fillId="16" borderId="26" xfId="0" applyNumberFormat="1" applyFont="1" applyFill="1" applyBorder="1"/>
    <xf numFmtId="7" fontId="29" fillId="16" borderId="26" xfId="0" applyNumberFormat="1" applyFont="1" applyFill="1" applyBorder="1"/>
    <xf numFmtId="0" fontId="29" fillId="16" borderId="27" xfId="0" applyFont="1" applyFill="1" applyBorder="1"/>
    <xf numFmtId="0" fontId="29" fillId="16" borderId="28" xfId="0" applyFont="1" applyFill="1" applyBorder="1"/>
    <xf numFmtId="0" fontId="29" fillId="16" borderId="29" xfId="0" applyFont="1" applyFill="1" applyBorder="1"/>
    <xf numFmtId="7" fontId="29" fillId="16" borderId="5" xfId="10" applyNumberFormat="1" applyFont="1" applyFill="1" applyBorder="1"/>
    <xf numFmtId="8" fontId="29" fillId="16" borderId="16" xfId="0" applyNumberFormat="1" applyFont="1" applyFill="1" applyBorder="1"/>
    <xf numFmtId="43" fontId="29" fillId="16" borderId="0" xfId="0" applyNumberFormat="1" applyFont="1" applyFill="1"/>
    <xf numFmtId="0" fontId="29" fillId="17" borderId="0" xfId="0" applyFont="1" applyFill="1"/>
    <xf numFmtId="0" fontId="29" fillId="17" borderId="0" xfId="0" applyFont="1" applyFill="1" applyAlignment="1">
      <alignment horizontal="center"/>
    </xf>
    <xf numFmtId="43" fontId="28" fillId="17" borderId="0" xfId="0" applyNumberFormat="1" applyFont="1" applyFill="1" applyAlignment="1">
      <alignment horizontal="center" wrapText="1"/>
    </xf>
    <xf numFmtId="7" fontId="29" fillId="17" borderId="11" xfId="10" applyNumberFormat="1" applyFont="1" applyFill="1" applyBorder="1"/>
    <xf numFmtId="43" fontId="29" fillId="17" borderId="12" xfId="10" applyNumberFormat="1" applyFont="1" applyFill="1" applyBorder="1"/>
    <xf numFmtId="7" fontId="29" fillId="17" borderId="12" xfId="10" applyNumberFormat="1" applyFont="1" applyFill="1" applyBorder="1"/>
    <xf numFmtId="43" fontId="29" fillId="17" borderId="15" xfId="10" applyNumberFormat="1" applyFont="1" applyFill="1" applyBorder="1"/>
    <xf numFmtId="43" fontId="29" fillId="17" borderId="0" xfId="10" applyNumberFormat="1" applyFont="1" applyFill="1"/>
    <xf numFmtId="7" fontId="29" fillId="17" borderId="5" xfId="10" applyNumberFormat="1" applyFont="1" applyFill="1" applyBorder="1"/>
    <xf numFmtId="43" fontId="28" fillId="17" borderId="0" xfId="10" applyNumberFormat="1" applyFont="1" applyFill="1"/>
    <xf numFmtId="43" fontId="29" fillId="17" borderId="0" xfId="0" applyNumberFormat="1" applyFont="1" applyFill="1"/>
    <xf numFmtId="43" fontId="29" fillId="17" borderId="0" xfId="9" applyFont="1" applyFill="1"/>
    <xf numFmtId="44" fontId="29" fillId="17" borderId="0" xfId="0" applyNumberFormat="1" applyFont="1" applyFill="1"/>
    <xf numFmtId="8" fontId="29" fillId="17" borderId="6" xfId="0" applyNumberFormat="1" applyFont="1" applyFill="1" applyBorder="1"/>
    <xf numFmtId="8" fontId="29" fillId="17" borderId="16" xfId="0" applyNumberFormat="1" applyFont="1" applyFill="1" applyBorder="1"/>
    <xf numFmtId="8" fontId="29" fillId="17" borderId="5" xfId="0" applyNumberFormat="1" applyFont="1" applyFill="1" applyBorder="1"/>
    <xf numFmtId="9" fontId="29" fillId="0" borderId="0" xfId="25" applyFont="1"/>
    <xf numFmtId="0" fontId="29" fillId="0" borderId="0" xfId="0" applyFont="1" applyAlignment="1">
      <alignment wrapText="1"/>
    </xf>
    <xf numFmtId="10" fontId="29" fillId="0" borderId="0" xfId="0" applyNumberFormat="1" applyFont="1" applyFill="1"/>
    <xf numFmtId="0" fontId="34" fillId="0" borderId="0" xfId="0" applyFont="1" applyFill="1"/>
    <xf numFmtId="49" fontId="4" fillId="18" borderId="0" xfId="0" applyNumberFormat="1" applyFont="1" applyFill="1"/>
    <xf numFmtId="0" fontId="16" fillId="18" borderId="0" xfId="0" applyFont="1" applyFill="1"/>
    <xf numFmtId="41" fontId="0" fillId="18" borderId="0" xfId="0" applyNumberFormat="1" applyFont="1" applyFill="1" applyAlignment="1">
      <alignment horizontal="right"/>
    </xf>
    <xf numFmtId="44" fontId="0" fillId="18" borderId="2" xfId="12" applyFont="1" applyFill="1" applyBorder="1"/>
    <xf numFmtId="44" fontId="0" fillId="18" borderId="0" xfId="12" applyFont="1" applyFill="1" applyAlignment="1">
      <alignment horizontal="right"/>
    </xf>
    <xf numFmtId="44" fontId="0" fillId="18" borderId="2" xfId="12" applyFont="1" applyFill="1" applyBorder="1" applyAlignment="1">
      <alignment horizontal="right"/>
    </xf>
    <xf numFmtId="44" fontId="0" fillId="18" borderId="0" xfId="12" applyFont="1" applyFill="1"/>
    <xf numFmtId="9" fontId="0" fillId="18" borderId="2" xfId="25" applyFont="1" applyFill="1" applyBorder="1"/>
    <xf numFmtId="44" fontId="0" fillId="18" borderId="0" xfId="12" applyFont="1" applyFill="1" applyBorder="1"/>
    <xf numFmtId="41" fontId="0" fillId="18" borderId="0" xfId="0" applyNumberFormat="1" applyFont="1" applyFill="1" applyBorder="1"/>
    <xf numFmtId="0" fontId="0" fillId="18" borderId="0" xfId="0" applyFont="1" applyFill="1"/>
    <xf numFmtId="44" fontId="4" fillId="19" borderId="2" xfId="12" applyFont="1" applyFill="1" applyBorder="1" applyAlignment="1">
      <alignment horizontal="center" wrapText="1"/>
    </xf>
    <xf numFmtId="44" fontId="0" fillId="19" borderId="0" xfId="12" applyFont="1" applyFill="1" applyAlignment="1">
      <alignment horizontal="center"/>
    </xf>
    <xf numFmtId="9" fontId="4" fillId="19" borderId="2" xfId="25" applyFont="1" applyFill="1" applyBorder="1" applyAlignment="1">
      <alignment horizontal="center" wrapText="1"/>
    </xf>
    <xf numFmtId="44" fontId="4" fillId="19" borderId="1" xfId="12" applyFont="1" applyFill="1" applyBorder="1" applyAlignment="1">
      <alignment horizontal="center"/>
    </xf>
    <xf numFmtId="44" fontId="0" fillId="0" borderId="0" xfId="12" applyFont="1" applyFill="1" applyAlignment="1">
      <alignment horizontal="center"/>
    </xf>
    <xf numFmtId="9" fontId="4" fillId="0" borderId="0" xfId="25" applyFont="1" applyFill="1" applyAlignment="1"/>
    <xf numFmtId="0" fontId="29" fillId="0" borderId="0" xfId="0" applyFont="1" applyFill="1" applyAlignment="1">
      <alignment horizontal="center"/>
    </xf>
    <xf numFmtId="0" fontId="32" fillId="0" borderId="0" xfId="0" applyFont="1" applyFill="1"/>
    <xf numFmtId="0" fontId="28" fillId="0" borderId="0" xfId="0" applyFont="1" applyFill="1" applyAlignment="1">
      <alignment horizontal="center" wrapText="1"/>
    </xf>
    <xf numFmtId="0" fontId="30" fillId="0" borderId="7" xfId="0" applyFont="1" applyFill="1" applyBorder="1" applyAlignment="1">
      <alignment horizontal="left" indent="1"/>
    </xf>
    <xf numFmtId="0" fontId="30" fillId="0" borderId="8" xfId="0" applyFont="1" applyFill="1" applyBorder="1" applyAlignment="1">
      <alignment horizontal="left" indent="1"/>
    </xf>
    <xf numFmtId="0" fontId="29" fillId="0" borderId="8" xfId="0" applyFont="1" applyFill="1" applyBorder="1" applyAlignment="1">
      <alignment horizontal="left" indent="1"/>
    </xf>
    <xf numFmtId="0" fontId="30" fillId="0" borderId="13" xfId="0" applyFont="1" applyFill="1" applyBorder="1" applyAlignment="1">
      <alignment horizontal="left" indent="1"/>
    </xf>
    <xf numFmtId="0" fontId="30" fillId="0" borderId="0" xfId="0" applyFont="1" applyFill="1" applyAlignment="1">
      <alignment horizontal="left" indent="1"/>
    </xf>
    <xf numFmtId="0" fontId="30" fillId="0" borderId="0" xfId="0" applyFont="1" applyFill="1" applyAlignment="1">
      <alignment horizontal="left"/>
    </xf>
    <xf numFmtId="14" fontId="29" fillId="0" borderId="0" xfId="0" applyNumberFormat="1" applyFont="1" applyFill="1"/>
    <xf numFmtId="49" fontId="17" fillId="15" borderId="0" xfId="0" applyNumberFormat="1" applyFont="1" applyFill="1" applyAlignment="1">
      <alignment horizontal="left" wrapText="1"/>
    </xf>
    <xf numFmtId="49" fontId="4" fillId="15" borderId="0" xfId="0" applyNumberFormat="1" applyFont="1" applyFill="1" applyAlignment="1">
      <alignment horizontal="left" wrapText="1"/>
    </xf>
    <xf numFmtId="49" fontId="4" fillId="12" borderId="0" xfId="0" applyNumberFormat="1" applyFont="1" applyFill="1" applyAlignment="1">
      <alignment horizontal="left" wrapText="1"/>
    </xf>
    <xf numFmtId="44" fontId="4" fillId="0" borderId="0" xfId="12" applyFont="1" applyFill="1" applyBorder="1" applyAlignment="1">
      <alignment horizontal="center"/>
    </xf>
    <xf numFmtId="49" fontId="0" fillId="15" borderId="0" xfId="0" applyNumberFormat="1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28" fillId="11" borderId="0" xfId="0" applyFont="1" applyFill="1" applyAlignment="1">
      <alignment horizontal="center"/>
    </xf>
    <xf numFmtId="0" fontId="29" fillId="11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5">
    <cellStyle name="Comma 2" xfId="4" xr:uid="{00000000-0005-0000-0000-000000000000}"/>
    <cellStyle name="Comma 3" xfId="9" xr:uid="{00000000-0005-0000-0000-000001000000}"/>
    <cellStyle name="Currency" xfId="12" builtinId="4"/>
    <cellStyle name="Currency 2" xfId="5" xr:uid="{00000000-0005-0000-0000-000003000000}"/>
    <cellStyle name="Currency 3" xfId="10" xr:uid="{00000000-0005-0000-0000-000004000000}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  <cellStyle name="Normal 2" xfId="1" xr:uid="{00000000-0005-0000-0000-000024000000}"/>
    <cellStyle name="Normal 2 2" xfId="6" xr:uid="{00000000-0005-0000-0000-000025000000}"/>
    <cellStyle name="Normal 3" xfId="2" xr:uid="{00000000-0005-0000-0000-000026000000}"/>
    <cellStyle name="Normal 3 2" xfId="11" xr:uid="{00000000-0005-0000-0000-000027000000}"/>
    <cellStyle name="Normal 4" xfId="7" xr:uid="{00000000-0005-0000-0000-000028000000}"/>
    <cellStyle name="Normal_BUD 10-11_USE 2" xfId="34" xr:uid="{00000000-0005-0000-0000-000029000000}"/>
    <cellStyle name="Percent" xfId="25" builtinId="5"/>
    <cellStyle name="Percent 2" xfId="3" xr:uid="{00000000-0005-0000-0000-00002B000000}"/>
    <cellStyle name="Percent 3" xfId="8" xr:uid="{00000000-0005-0000-0000-00002C000000}"/>
  </cellStyles>
  <dxfs count="0"/>
  <tableStyles count="0" defaultTableStyle="TableStyleMedium2" defaultPivotStyle="PivotStyleLight16"/>
  <colors>
    <mruColors>
      <color rgb="FFFF1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196850</xdr:colOff>
      <xdr:row>2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190500"/>
          <a:ext cx="9302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196850</xdr:colOff>
      <xdr:row>2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190500"/>
          <a:ext cx="9302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152400</xdr:colOff>
      <xdr:row>2</xdr:row>
      <xdr:rowOff>28575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858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152400</xdr:colOff>
      <xdr:row>2</xdr:row>
      <xdr:rowOff>28575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858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0"/>
  <sheetViews>
    <sheetView tabSelected="1" topLeftCell="A77" workbookViewId="0">
      <selection activeCell="H86" sqref="H86"/>
    </sheetView>
  </sheetViews>
  <sheetFormatPr defaultColWidth="8.81640625" defaultRowHeight="14.5" x14ac:dyDescent="0.35"/>
  <cols>
    <col min="1" max="1" width="3.81640625" style="73" customWidth="1"/>
    <col min="2" max="2" width="7.1796875" style="73" customWidth="1"/>
    <col min="3" max="3" width="3.6328125" style="73" customWidth="1"/>
    <col min="4" max="4" width="1.36328125" style="73" customWidth="1"/>
    <col min="5" max="5" width="1.1796875" style="73" customWidth="1"/>
    <col min="6" max="6" width="30.81640625" style="73" customWidth="1"/>
    <col min="7" max="7" width="11" style="88" hidden="1" customWidth="1"/>
    <col min="8" max="8" width="14.453125" style="283" bestFit="1" customWidth="1"/>
    <col min="9" max="9" width="1.453125" style="283" customWidth="1"/>
    <col min="10" max="10" width="14.453125" style="283" bestFit="1" customWidth="1"/>
    <col min="11" max="11" width="12.6328125" style="283" hidden="1" customWidth="1"/>
    <col min="12" max="12" width="1.453125" style="323" customWidth="1"/>
    <col min="13" max="13" width="14.36328125" style="283" bestFit="1" customWidth="1"/>
    <col min="14" max="14" width="1.453125" style="94" customWidth="1"/>
    <col min="15" max="15" width="12.6328125" style="354" hidden="1" customWidth="1"/>
    <col min="16" max="16" width="1.1796875" style="94" hidden="1" customWidth="1"/>
    <col min="17" max="17" width="12.6328125" style="94" hidden="1" customWidth="1"/>
    <col min="18" max="18" width="1.453125" style="94" hidden="1" customWidth="1"/>
    <col min="19" max="19" width="12.6328125" style="94" hidden="1" customWidth="1"/>
    <col min="20" max="20" width="1.1796875" style="94" hidden="1" customWidth="1"/>
    <col min="21" max="21" width="14.36328125" style="94" bestFit="1" customWidth="1"/>
    <col min="22" max="22" width="1.81640625" style="94" customWidth="1"/>
    <col min="23" max="23" width="12.36328125" style="283" hidden="1" customWidth="1"/>
    <col min="24" max="24" width="1.81640625" style="4" hidden="1" customWidth="1"/>
    <col min="25" max="25" width="8.6328125" style="4" hidden="1" customWidth="1"/>
    <col min="26" max="26" width="55.6328125" style="4" customWidth="1"/>
    <col min="27" max="16384" width="8.81640625" style="4"/>
  </cols>
  <sheetData>
    <row r="1" spans="1:26" ht="15" customHeight="1" x14ac:dyDescent="0.35">
      <c r="A1" s="3"/>
      <c r="B1" s="3"/>
      <c r="C1" s="3"/>
      <c r="D1" s="3"/>
      <c r="E1" s="3"/>
      <c r="F1" s="3" t="s">
        <v>129</v>
      </c>
      <c r="G1" s="48"/>
      <c r="H1" s="276"/>
      <c r="I1" s="276"/>
      <c r="J1" s="276"/>
      <c r="K1" s="276"/>
      <c r="L1" s="277"/>
      <c r="M1" s="278"/>
      <c r="N1" s="278"/>
      <c r="O1" s="449"/>
      <c r="P1" s="283"/>
      <c r="Q1" s="283"/>
      <c r="R1" s="283"/>
      <c r="S1" s="283"/>
      <c r="W1" s="397"/>
      <c r="X1" s="49"/>
      <c r="Y1" s="49"/>
    </row>
    <row r="2" spans="1:26" x14ac:dyDescent="0.35">
      <c r="A2" s="50"/>
      <c r="B2" s="50"/>
      <c r="C2" s="50"/>
      <c r="D2" s="50"/>
      <c r="E2" s="50"/>
      <c r="F2" s="50"/>
      <c r="G2" s="48"/>
      <c r="H2" s="276" t="s">
        <v>130</v>
      </c>
      <c r="I2" s="276"/>
      <c r="J2" s="276" t="s">
        <v>130</v>
      </c>
      <c r="K2" s="276" t="s">
        <v>130</v>
      </c>
      <c r="L2" s="277"/>
      <c r="M2" s="463"/>
      <c r="N2" s="463"/>
      <c r="O2" s="463"/>
      <c r="P2" s="463"/>
      <c r="Q2" s="463"/>
      <c r="R2" s="463"/>
      <c r="S2" s="463"/>
      <c r="T2" s="279"/>
      <c r="W2" s="94"/>
      <c r="X2" s="94"/>
      <c r="Y2" s="94"/>
    </row>
    <row r="3" spans="1:26" s="40" customFormat="1" ht="87.5" thickBot="1" x14ac:dyDescent="0.4">
      <c r="A3" s="51"/>
      <c r="B3" s="51"/>
      <c r="C3" s="51"/>
      <c r="D3" s="51"/>
      <c r="E3" s="51"/>
      <c r="F3" s="51"/>
      <c r="G3" s="52" t="s">
        <v>49</v>
      </c>
      <c r="H3" s="281" t="s">
        <v>359</v>
      </c>
      <c r="I3" s="281"/>
      <c r="J3" s="281" t="s">
        <v>293</v>
      </c>
      <c r="K3" s="280" t="s">
        <v>292</v>
      </c>
      <c r="L3" s="281"/>
      <c r="M3" s="281" t="s">
        <v>362</v>
      </c>
      <c r="N3" s="448"/>
      <c r="O3" s="446" t="s">
        <v>128</v>
      </c>
      <c r="P3" s="445"/>
      <c r="Q3" s="447" t="s">
        <v>0</v>
      </c>
      <c r="R3" s="445"/>
      <c r="S3" s="444" t="s">
        <v>53</v>
      </c>
      <c r="T3" s="282"/>
      <c r="U3" s="281" t="s">
        <v>127</v>
      </c>
      <c r="V3" s="281"/>
      <c r="W3" s="281" t="s">
        <v>294</v>
      </c>
      <c r="X3" s="385"/>
      <c r="Y3" s="386" t="s">
        <v>295</v>
      </c>
      <c r="Z3" s="39" t="s">
        <v>138</v>
      </c>
    </row>
    <row r="4" spans="1:26" x14ac:dyDescent="0.35">
      <c r="A4" s="50"/>
      <c r="B4" s="50"/>
      <c r="C4" s="50"/>
      <c r="D4" s="50"/>
      <c r="E4" s="50"/>
      <c r="F4" s="50"/>
      <c r="G4" s="48"/>
      <c r="L4" s="277"/>
      <c r="U4" s="283"/>
      <c r="V4" s="283"/>
      <c r="X4" s="45"/>
      <c r="Y4" s="45"/>
    </row>
    <row r="5" spans="1:26" x14ac:dyDescent="0.35">
      <c r="A5" s="50"/>
      <c r="B5" s="50"/>
      <c r="C5" s="50" t="s">
        <v>25</v>
      </c>
      <c r="D5" s="50"/>
      <c r="E5" s="50"/>
      <c r="F5" s="50"/>
      <c r="G5" s="48"/>
      <c r="L5" s="277"/>
      <c r="U5" s="283"/>
      <c r="V5" s="283"/>
      <c r="X5" s="45"/>
      <c r="Y5" s="45"/>
    </row>
    <row r="6" spans="1:26" x14ac:dyDescent="0.35">
      <c r="A6" s="50"/>
      <c r="B6" s="50"/>
      <c r="C6" s="50"/>
      <c r="D6" s="50" t="s">
        <v>41</v>
      </c>
      <c r="E6" s="50"/>
      <c r="F6" s="50"/>
      <c r="G6" s="48"/>
      <c r="L6" s="277"/>
      <c r="U6" s="283"/>
      <c r="V6" s="283"/>
      <c r="X6" s="45"/>
      <c r="Y6" s="45"/>
    </row>
    <row r="7" spans="1:26" x14ac:dyDescent="0.35">
      <c r="A7" s="50"/>
      <c r="B7" s="50"/>
      <c r="C7" s="50"/>
      <c r="D7" s="50"/>
      <c r="E7" s="50" t="s">
        <v>42</v>
      </c>
      <c r="F7" s="50"/>
      <c r="G7" s="41">
        <v>6909</v>
      </c>
      <c r="H7" s="284">
        <v>1200</v>
      </c>
      <c r="I7" s="284"/>
      <c r="J7" s="284">
        <v>1200</v>
      </c>
      <c r="K7" s="284">
        <v>1200</v>
      </c>
      <c r="L7" s="285"/>
      <c r="M7" s="284">
        <v>740</v>
      </c>
      <c r="O7" s="355">
        <f>ROUND(IF(M7=0, IF(K7=0, 0, 1), M7/K7),5)</f>
        <v>0.61667000000000005</v>
      </c>
      <c r="Q7" s="286"/>
      <c r="R7" s="286"/>
      <c r="S7" s="286">
        <f>ROUND(IF(O7=0, IF(M7=0, 0, 1), M7/O7),5)</f>
        <v>1199.99351</v>
      </c>
      <c r="U7" s="284">
        <v>3000</v>
      </c>
      <c r="V7" s="284"/>
      <c r="W7" s="284">
        <v>5804</v>
      </c>
      <c r="X7" s="383"/>
      <c r="Y7" s="384">
        <v>5000</v>
      </c>
    </row>
    <row r="8" spans="1:26" x14ac:dyDescent="0.35">
      <c r="A8" s="50"/>
      <c r="B8" s="50"/>
      <c r="C8" s="50"/>
      <c r="D8" s="50" t="s">
        <v>43</v>
      </c>
      <c r="E8" s="50"/>
      <c r="F8" s="50"/>
      <c r="G8" s="42">
        <f>SUM(G7)</f>
        <v>6909</v>
      </c>
      <c r="H8" s="283">
        <f>SUM(H7)</f>
        <v>1200</v>
      </c>
      <c r="J8" s="283">
        <f>SUM(J7)</f>
        <v>1200</v>
      </c>
      <c r="K8" s="283">
        <f>SUM(K7)</f>
        <v>1200</v>
      </c>
      <c r="L8" s="94"/>
      <c r="M8" s="287">
        <f>SUM(M7)</f>
        <v>740</v>
      </c>
      <c r="O8" s="354">
        <f>SUM(O7)</f>
        <v>0.61667000000000005</v>
      </c>
      <c r="U8" s="283">
        <f>SUM(U7)</f>
        <v>3000</v>
      </c>
      <c r="V8" s="283"/>
      <c r="W8" s="283">
        <f>SUM(W7)</f>
        <v>5804</v>
      </c>
      <c r="X8" s="42"/>
      <c r="Y8" s="42">
        <f>SUM(Y7)</f>
        <v>5000</v>
      </c>
    </row>
    <row r="9" spans="1:26" x14ac:dyDescent="0.35">
      <c r="A9" s="50"/>
      <c r="B9" s="50"/>
      <c r="C9" s="50"/>
      <c r="D9" s="50"/>
      <c r="E9" s="50"/>
      <c r="F9" s="50"/>
      <c r="G9" s="48"/>
      <c r="L9" s="277"/>
      <c r="U9" s="283"/>
      <c r="V9" s="283"/>
      <c r="X9" s="45"/>
      <c r="Y9" s="45"/>
    </row>
    <row r="10" spans="1:26" x14ac:dyDescent="0.35">
      <c r="A10" s="50"/>
      <c r="B10" s="50"/>
      <c r="C10" s="50"/>
      <c r="D10" s="50" t="s">
        <v>1</v>
      </c>
      <c r="E10" s="50"/>
      <c r="F10" s="50"/>
      <c r="G10" s="53"/>
      <c r="L10" s="277"/>
      <c r="U10" s="283"/>
      <c r="V10" s="283"/>
      <c r="X10" s="42"/>
      <c r="Y10" s="42"/>
    </row>
    <row r="11" spans="1:26" s="327" customFormat="1" x14ac:dyDescent="0.35">
      <c r="A11" s="324"/>
      <c r="B11" s="324"/>
      <c r="C11" s="324"/>
      <c r="D11" s="324"/>
      <c r="E11" s="324" t="s">
        <v>50</v>
      </c>
      <c r="F11" s="324"/>
      <c r="G11" s="328">
        <v>0</v>
      </c>
      <c r="H11" s="288">
        <v>333874</v>
      </c>
      <c r="I11" s="288"/>
      <c r="J11" s="288">
        <v>333874</v>
      </c>
      <c r="K11" s="288">
        <v>260202</v>
      </c>
      <c r="L11" s="329"/>
      <c r="M11" s="288"/>
      <c r="N11" s="288"/>
      <c r="O11" s="356">
        <v>0</v>
      </c>
      <c r="P11" s="288"/>
      <c r="Q11" s="288">
        <f>ROUND((M11-O11),5)</f>
        <v>0</v>
      </c>
      <c r="R11" s="288"/>
      <c r="S11" s="288">
        <f t="shared" ref="S11:S16" si="0">ROUND(IF(O11=0, IF(M11=0, 0, 1), M11/O11),5)</f>
        <v>0</v>
      </c>
      <c r="T11" s="288"/>
      <c r="U11" s="288">
        <v>0</v>
      </c>
      <c r="V11" s="288"/>
      <c r="W11" s="288"/>
      <c r="X11" s="72"/>
      <c r="Y11" s="72"/>
      <c r="Z11" s="327" t="s">
        <v>345</v>
      </c>
    </row>
    <row r="12" spans="1:26" x14ac:dyDescent="0.35">
      <c r="A12" s="50"/>
      <c r="B12" s="50"/>
      <c r="C12" s="50"/>
      <c r="D12" s="50"/>
      <c r="E12" s="50" t="s">
        <v>2</v>
      </c>
      <c r="F12" s="54"/>
      <c r="G12" s="55">
        <v>237679</v>
      </c>
      <c r="H12" s="300">
        <v>255030</v>
      </c>
      <c r="I12" s="300"/>
      <c r="J12" s="283">
        <v>315823</v>
      </c>
      <c r="K12" s="283">
        <v>270632</v>
      </c>
      <c r="L12" s="289"/>
      <c r="M12" s="283">
        <v>255030</v>
      </c>
      <c r="N12" s="283"/>
      <c r="O12" s="357">
        <f>ROUND(IF(M12=0, IF(K12=0, 0, 1), M12/K12),5)</f>
        <v>0.94235000000000002</v>
      </c>
      <c r="P12" s="283"/>
      <c r="Q12" s="283">
        <f>ROUND((M12-O12),5)</f>
        <v>255029.05765</v>
      </c>
      <c r="R12" s="283"/>
      <c r="S12" s="283">
        <f t="shared" si="0"/>
        <v>270631.93080999999</v>
      </c>
      <c r="T12" s="283"/>
      <c r="U12" s="283">
        <v>246030</v>
      </c>
      <c r="V12" s="283"/>
      <c r="W12" s="283">
        <v>237404</v>
      </c>
      <c r="X12" s="42"/>
      <c r="Y12" s="42">
        <v>246030</v>
      </c>
      <c r="Z12" s="4" t="s">
        <v>353</v>
      </c>
    </row>
    <row r="13" spans="1:26" s="335" customFormat="1" x14ac:dyDescent="0.35">
      <c r="A13" s="330"/>
      <c r="B13" s="330"/>
      <c r="C13" s="330"/>
      <c r="D13" s="330"/>
      <c r="E13" s="330" t="s">
        <v>3</v>
      </c>
      <c r="F13" s="330"/>
      <c r="G13" s="331">
        <v>94089</v>
      </c>
      <c r="H13" s="332">
        <v>114924</v>
      </c>
      <c r="I13" s="332"/>
      <c r="J13" s="332">
        <v>114924</v>
      </c>
      <c r="K13" s="332">
        <v>114924</v>
      </c>
      <c r="L13" s="333"/>
      <c r="M13" s="334">
        <v>110379</v>
      </c>
      <c r="N13" s="332"/>
      <c r="O13" s="358">
        <f>ROUND(IF(M13=0, IF(K13=0, 0, 1), M13/K13),5)</f>
        <v>0.96045000000000003</v>
      </c>
      <c r="P13" s="332"/>
      <c r="Q13" s="332">
        <f>ROUND((M13-O13),5)</f>
        <v>110378.03955</v>
      </c>
      <c r="R13" s="332"/>
      <c r="S13" s="332">
        <f t="shared" si="0"/>
        <v>114924.25426</v>
      </c>
      <c r="T13" s="332"/>
      <c r="U13" s="332">
        <v>110379</v>
      </c>
      <c r="V13" s="332"/>
      <c r="W13" s="332">
        <v>100312</v>
      </c>
      <c r="X13" s="387"/>
      <c r="Y13" s="387">
        <v>100312</v>
      </c>
      <c r="Z13" s="335" t="s">
        <v>290</v>
      </c>
    </row>
    <row r="14" spans="1:26" s="341" customFormat="1" x14ac:dyDescent="0.35">
      <c r="A14" s="56"/>
      <c r="B14" s="56"/>
      <c r="C14" s="56"/>
      <c r="D14" s="56"/>
      <c r="E14" s="56" t="s">
        <v>38</v>
      </c>
      <c r="F14" s="56"/>
      <c r="G14" s="336">
        <v>27296</v>
      </c>
      <c r="H14" s="300">
        <v>50000</v>
      </c>
      <c r="I14" s="300"/>
      <c r="J14" s="337">
        <f>'General Assembly Worksheet'!B7</f>
        <v>67500</v>
      </c>
      <c r="K14" s="337">
        <v>50000</v>
      </c>
      <c r="L14" s="338"/>
      <c r="M14" s="339">
        <v>50795</v>
      </c>
      <c r="N14" s="340">
        <v>1</v>
      </c>
      <c r="O14" s="359">
        <f>ROUND(IF(M14=0, IF(K14=0, 0, 1), M14/K14),5)</f>
        <v>1.0159</v>
      </c>
      <c r="P14" s="337"/>
      <c r="Q14" s="337">
        <f>ROUND((M14-O14),5)</f>
        <v>50793.984100000001</v>
      </c>
      <c r="R14" s="337"/>
      <c r="S14" s="337">
        <f t="shared" si="0"/>
        <v>50000</v>
      </c>
      <c r="T14" s="337"/>
      <c r="U14" s="337">
        <v>50000</v>
      </c>
      <c r="V14" s="337"/>
      <c r="W14" s="337">
        <v>8684</v>
      </c>
      <c r="X14" s="388"/>
      <c r="Y14" s="388">
        <v>60000</v>
      </c>
    </row>
    <row r="15" spans="1:26" ht="15" thickBot="1" x14ac:dyDescent="0.4">
      <c r="A15" s="50"/>
      <c r="B15" s="50"/>
      <c r="C15" s="50"/>
      <c r="D15" s="50"/>
      <c r="E15" s="50" t="s">
        <v>46</v>
      </c>
      <c r="F15" s="50"/>
      <c r="G15" s="53"/>
      <c r="H15" s="283">
        <v>0</v>
      </c>
      <c r="J15" s="283">
        <v>0</v>
      </c>
      <c r="K15" s="283">
        <v>0</v>
      </c>
      <c r="L15" s="277"/>
      <c r="M15" s="287">
        <v>0</v>
      </c>
      <c r="S15" s="94">
        <f t="shared" si="0"/>
        <v>0</v>
      </c>
      <c r="U15" s="283">
        <v>0</v>
      </c>
      <c r="V15" s="283"/>
      <c r="W15" s="294"/>
      <c r="X15" s="42"/>
      <c r="Y15" s="42">
        <v>5000</v>
      </c>
    </row>
    <row r="16" spans="1:26" x14ac:dyDescent="0.35">
      <c r="A16" s="50"/>
      <c r="B16" s="50"/>
      <c r="C16" s="50"/>
      <c r="D16" s="50" t="s">
        <v>4</v>
      </c>
      <c r="E16" s="50"/>
      <c r="F16" s="50"/>
      <c r="G16" s="57">
        <f>SUM(G12:G15)</f>
        <v>359064</v>
      </c>
      <c r="H16" s="290">
        <f>SUM(H11:H15)</f>
        <v>753828</v>
      </c>
      <c r="I16" s="290"/>
      <c r="J16" s="290">
        <f>SUM(J11:J15)</f>
        <v>832121</v>
      </c>
      <c r="K16" s="290">
        <f>SUM(K11:K15)</f>
        <v>695758</v>
      </c>
      <c r="L16" s="291"/>
      <c r="M16" s="290">
        <f>SUM(M11:M15)</f>
        <v>416204</v>
      </c>
      <c r="O16" s="360">
        <f>SUM(O11:O15)</f>
        <v>2.9187000000000003</v>
      </c>
      <c r="Q16" s="292">
        <f>ROUND((M16-O16),5)</f>
        <v>416201.08130000002</v>
      </c>
      <c r="S16" s="292">
        <f t="shared" si="0"/>
        <v>142599.10234000001</v>
      </c>
      <c r="U16" s="290">
        <f>SUM(U11:U15)</f>
        <v>406409</v>
      </c>
      <c r="V16" s="290"/>
      <c r="W16" s="290">
        <f>SUM(W11:W15)</f>
        <v>346400</v>
      </c>
      <c r="X16" s="389"/>
      <c r="Y16" s="57">
        <f>SUM(Y11:Y15)</f>
        <v>411342</v>
      </c>
    </row>
    <row r="17" spans="1:26" x14ac:dyDescent="0.35">
      <c r="A17" s="50"/>
      <c r="B17" s="50"/>
      <c r="C17" s="50"/>
      <c r="D17" s="50"/>
      <c r="E17" s="50"/>
      <c r="F17" s="50"/>
      <c r="G17" s="53"/>
      <c r="L17" s="277"/>
      <c r="M17" s="287"/>
      <c r="Q17" s="293"/>
      <c r="U17" s="283"/>
      <c r="V17" s="283"/>
      <c r="X17" s="42"/>
      <c r="Y17" s="42"/>
    </row>
    <row r="18" spans="1:26" s="348" customFormat="1" ht="15" thickBot="1" x14ac:dyDescent="0.4">
      <c r="A18" s="343"/>
      <c r="B18" s="343"/>
      <c r="C18" s="343"/>
      <c r="D18" s="343" t="s">
        <v>54</v>
      </c>
      <c r="E18" s="343"/>
      <c r="F18" s="343"/>
      <c r="G18" s="344">
        <v>0</v>
      </c>
      <c r="H18" s="346">
        <v>2722159.86</v>
      </c>
      <c r="I18" s="346"/>
      <c r="J18" s="346">
        <f>U18-M18</f>
        <v>2717250</v>
      </c>
      <c r="K18" s="345">
        <v>2867632</v>
      </c>
      <c r="L18" s="346"/>
      <c r="M18" s="345">
        <v>855000</v>
      </c>
      <c r="N18" s="347"/>
      <c r="O18" s="361">
        <f>ROUND(IF(M18=0, IF(K18=0, 0, 1), M18/K18),5)</f>
        <v>0.29815999999999998</v>
      </c>
      <c r="P18" s="347"/>
      <c r="Q18" s="345"/>
      <c r="R18" s="347"/>
      <c r="S18" s="345">
        <f>ROUND(IF(O18=0, IF(M18=0, 0, 1), M18/O18),5)</f>
        <v>2867587.8722799998</v>
      </c>
      <c r="T18" s="347"/>
      <c r="U18" s="345">
        <v>3572250</v>
      </c>
      <c r="V18" s="345"/>
      <c r="W18" s="345">
        <v>0</v>
      </c>
      <c r="X18" s="390"/>
      <c r="Y18" s="60">
        <v>0</v>
      </c>
      <c r="Z18" s="348" t="s">
        <v>142</v>
      </c>
    </row>
    <row r="19" spans="1:26" ht="6" customHeight="1" x14ac:dyDescent="0.35">
      <c r="A19" s="50"/>
      <c r="B19" s="50"/>
      <c r="C19" s="50"/>
      <c r="D19" s="50"/>
      <c r="E19" s="50"/>
      <c r="F19" s="50"/>
      <c r="G19" s="53"/>
      <c r="L19" s="277"/>
      <c r="M19" s="287"/>
      <c r="U19" s="283"/>
      <c r="V19" s="283"/>
      <c r="X19" s="42"/>
      <c r="Y19" s="42"/>
    </row>
    <row r="20" spans="1:26" ht="30" customHeight="1" x14ac:dyDescent="0.35">
      <c r="A20" s="50"/>
      <c r="B20" s="50"/>
      <c r="C20" s="50" t="s">
        <v>26</v>
      </c>
      <c r="D20" s="50"/>
      <c r="E20" s="50"/>
      <c r="F20" s="50"/>
      <c r="G20" s="53">
        <f>G8+G16+G18</f>
        <v>365973</v>
      </c>
      <c r="H20" s="289">
        <f>H8+H16+H18</f>
        <v>3477187.86</v>
      </c>
      <c r="I20" s="289"/>
      <c r="J20" s="289">
        <f>J8+J16+J18</f>
        <v>3550571</v>
      </c>
      <c r="K20" s="289">
        <f>K8+K16+K18</f>
        <v>3564590</v>
      </c>
      <c r="L20" s="289"/>
      <c r="M20" s="289">
        <f>M8+M16+M18</f>
        <v>1271944</v>
      </c>
      <c r="N20" s="283"/>
      <c r="O20" s="362"/>
      <c r="P20" s="283"/>
      <c r="Q20" s="283">
        <f>ROUND((M20-O20),5)</f>
        <v>1271944</v>
      </c>
      <c r="R20" s="283"/>
      <c r="S20" s="283">
        <f>ROUND(IF(O20=0, IF(M20=0, 0, 1), M20/O20),5)</f>
        <v>1</v>
      </c>
      <c r="T20" s="283"/>
      <c r="U20" s="289">
        <f>U8+U16+U18</f>
        <v>3981659</v>
      </c>
      <c r="V20" s="289"/>
      <c r="W20" s="289"/>
      <c r="X20" s="53"/>
      <c r="Y20" s="391">
        <f>Y8+Y16+Y18</f>
        <v>416342</v>
      </c>
    </row>
    <row r="21" spans="1:26" ht="30" customHeight="1" x14ac:dyDescent="0.35">
      <c r="A21" s="50"/>
      <c r="B21" s="50"/>
      <c r="C21" s="50" t="s">
        <v>289</v>
      </c>
      <c r="D21" s="50"/>
      <c r="E21" s="50"/>
      <c r="F21" s="50"/>
      <c r="G21" s="53">
        <f>G9+G17+G19</f>
        <v>0</v>
      </c>
      <c r="H21" s="299">
        <f>H8+H12+H14</f>
        <v>306230</v>
      </c>
      <c r="I21" s="289"/>
      <c r="J21" s="289">
        <f>J8+J12+J14</f>
        <v>384523</v>
      </c>
      <c r="K21" s="289">
        <f>K8+K12+K14</f>
        <v>321832</v>
      </c>
      <c r="L21" s="277"/>
      <c r="M21" s="289">
        <f>M8+M12+M14</f>
        <v>306565</v>
      </c>
      <c r="O21" s="362"/>
      <c r="U21" s="289">
        <f>U8+U12+U14</f>
        <v>299030</v>
      </c>
      <c r="V21" s="289"/>
      <c r="W21" s="289">
        <f>W8+W16+W18</f>
        <v>352204</v>
      </c>
      <c r="X21" s="55"/>
      <c r="Y21" s="55"/>
    </row>
    <row r="22" spans="1:26" ht="30" customHeight="1" x14ac:dyDescent="0.35">
      <c r="A22" s="50"/>
      <c r="B22" s="50"/>
      <c r="C22" s="50" t="s">
        <v>27</v>
      </c>
      <c r="D22" s="50"/>
      <c r="E22" s="50"/>
      <c r="F22" s="50"/>
      <c r="G22" s="53"/>
      <c r="L22" s="277"/>
      <c r="U22" s="283"/>
      <c r="V22" s="283"/>
      <c r="X22" s="42"/>
      <c r="Y22" s="42"/>
    </row>
    <row r="23" spans="1:26" x14ac:dyDescent="0.35">
      <c r="A23" s="50"/>
      <c r="B23" s="50"/>
      <c r="C23" s="50"/>
      <c r="D23" s="50" t="s">
        <v>5</v>
      </c>
      <c r="E23" s="50"/>
      <c r="F23" s="50"/>
      <c r="G23" s="53"/>
      <c r="L23" s="277"/>
      <c r="U23" s="283"/>
      <c r="V23" s="283"/>
      <c r="X23" s="42"/>
      <c r="Y23" s="42"/>
    </row>
    <row r="24" spans="1:26" s="327" customFormat="1" x14ac:dyDescent="0.35">
      <c r="A24" s="324"/>
      <c r="B24" s="324"/>
      <c r="C24" s="324"/>
      <c r="D24" s="324"/>
      <c r="E24" s="324" t="s">
        <v>51</v>
      </c>
      <c r="F24" s="324"/>
      <c r="G24" s="328">
        <v>0</v>
      </c>
      <c r="H24" s="288">
        <v>331214</v>
      </c>
      <c r="I24" s="288"/>
      <c r="J24" s="288">
        <v>331214</v>
      </c>
      <c r="K24" s="288">
        <v>331212</v>
      </c>
      <c r="L24" s="329"/>
      <c r="M24" s="288">
        <v>0</v>
      </c>
      <c r="N24" s="288"/>
      <c r="O24" s="356">
        <f>ROUND(IF(M24=0, IF(K24=0, 0, 1), M24/K24),5)</f>
        <v>1</v>
      </c>
      <c r="P24" s="288"/>
      <c r="Q24" s="288">
        <f>ROUND((M24-O24),5)</f>
        <v>-1</v>
      </c>
      <c r="R24" s="288"/>
      <c r="S24" s="288"/>
      <c r="T24" s="288"/>
      <c r="U24" s="288">
        <v>0</v>
      </c>
      <c r="V24" s="288"/>
      <c r="W24" s="288"/>
      <c r="X24" s="72"/>
      <c r="Y24" s="72"/>
      <c r="Z24" s="327" t="s">
        <v>140</v>
      </c>
    </row>
    <row r="25" spans="1:26" s="335" customFormat="1" x14ac:dyDescent="0.35">
      <c r="A25" s="330"/>
      <c r="B25" s="330"/>
      <c r="C25" s="330"/>
      <c r="D25" s="330"/>
      <c r="E25" s="330" t="s">
        <v>6</v>
      </c>
      <c r="F25" s="330"/>
      <c r="G25" s="331">
        <v>94089</v>
      </c>
      <c r="H25" s="332">
        <v>114924</v>
      </c>
      <c r="I25" s="332"/>
      <c r="J25" s="332">
        <v>114924</v>
      </c>
      <c r="K25" s="332">
        <v>114924</v>
      </c>
      <c r="L25" s="333"/>
      <c r="M25" s="334">
        <v>110379</v>
      </c>
      <c r="N25" s="332"/>
      <c r="O25" s="358">
        <f>ROUND(IF(M25=0, IF(K25=0, 0, 1), M25/K25),5)</f>
        <v>0.96045000000000003</v>
      </c>
      <c r="P25" s="332"/>
      <c r="Q25" s="332">
        <f>ROUND((M25-O25),5)</f>
        <v>110378.03955</v>
      </c>
      <c r="R25" s="332"/>
      <c r="S25" s="332">
        <f>ROUND(IF(O25=0, IF(M25=0, 0, 1), M25/O25),5)</f>
        <v>114924.25426</v>
      </c>
      <c r="T25" s="332"/>
      <c r="U25" s="332">
        <v>110379</v>
      </c>
      <c r="V25" s="332"/>
      <c r="W25" s="332">
        <v>100312</v>
      </c>
      <c r="X25" s="387"/>
      <c r="Y25" s="387">
        <v>95000</v>
      </c>
    </row>
    <row r="26" spans="1:26" s="341" customFormat="1" ht="15" thickBot="1" x14ac:dyDescent="0.4">
      <c r="A26" s="56"/>
      <c r="B26" s="56"/>
      <c r="C26" s="56"/>
      <c r="D26" s="56"/>
      <c r="E26" s="56" t="s">
        <v>39</v>
      </c>
      <c r="F26" s="56"/>
      <c r="G26" s="336">
        <f>39607+850</f>
        <v>40457</v>
      </c>
      <c r="H26" s="342">
        <v>40436.25</v>
      </c>
      <c r="I26" s="342"/>
      <c r="J26" s="342">
        <f>'General Assembly Worksheet'!B27</f>
        <v>40436.25</v>
      </c>
      <c r="K26" s="342">
        <v>40000</v>
      </c>
      <c r="L26" s="338"/>
      <c r="M26" s="342">
        <v>65985</v>
      </c>
      <c r="N26" s="337"/>
      <c r="O26" s="363">
        <f>ROUND(IF(M26=0, IF(K26=0, 0, 1), M26/K26),5)</f>
        <v>1.6496299999999999</v>
      </c>
      <c r="P26" s="337"/>
      <c r="Q26" s="342">
        <f>ROUND((M26-O26),5)</f>
        <v>65983.35037</v>
      </c>
      <c r="R26" s="337"/>
      <c r="S26" s="342">
        <f>ROUND(IF(O26=0, IF(M26=0, 0, 1), M26/O26),5)</f>
        <v>39999.87876</v>
      </c>
      <c r="T26" s="337"/>
      <c r="U26" s="342">
        <v>45000</v>
      </c>
      <c r="V26" s="342"/>
      <c r="W26" s="342">
        <v>10280</v>
      </c>
      <c r="X26" s="388"/>
      <c r="Y26" s="392">
        <v>50000</v>
      </c>
      <c r="Z26" s="341" t="s">
        <v>358</v>
      </c>
    </row>
    <row r="27" spans="1:26" hidden="1" x14ac:dyDescent="0.35">
      <c r="A27" s="50"/>
      <c r="B27" s="50"/>
      <c r="C27" s="50"/>
      <c r="D27" s="50"/>
      <c r="E27" s="50" t="s">
        <v>44</v>
      </c>
      <c r="F27" s="50"/>
      <c r="G27" s="53"/>
      <c r="L27" s="277"/>
      <c r="M27" s="287">
        <v>0</v>
      </c>
      <c r="O27" s="354">
        <v>0</v>
      </c>
      <c r="U27" s="283"/>
      <c r="V27" s="283"/>
      <c r="X27" s="42"/>
      <c r="Y27" s="42">
        <v>0</v>
      </c>
    </row>
    <row r="28" spans="1:26" x14ac:dyDescent="0.35">
      <c r="A28" s="50"/>
      <c r="B28" s="50"/>
      <c r="C28" s="50"/>
      <c r="D28" s="50" t="s">
        <v>7</v>
      </c>
      <c r="E28" s="50"/>
      <c r="F28" s="50"/>
      <c r="G28" s="53">
        <f>SUM(G25:G27)</f>
        <v>134546</v>
      </c>
      <c r="H28" s="289">
        <f>SUM(H24:H27)</f>
        <v>486574.25</v>
      </c>
      <c r="I28" s="289"/>
      <c r="J28" s="289">
        <f>SUM(J24:J27)</f>
        <v>486574.25</v>
      </c>
      <c r="K28" s="289">
        <f>SUM(K24:K27)</f>
        <v>486136</v>
      </c>
      <c r="L28" s="277"/>
      <c r="M28" s="289">
        <f>SUM(M25:M27)</f>
        <v>176364</v>
      </c>
      <c r="O28" s="364"/>
      <c r="Q28" s="94">
        <f>ROUND((M28-O28),5)</f>
        <v>176364</v>
      </c>
      <c r="S28" s="94">
        <f>ROUND(IF(O28=0, IF(M28=0, 0, 1), M28/O28),5)</f>
        <v>1</v>
      </c>
      <c r="U28" s="289">
        <f>SUM(U24:U27)</f>
        <v>155379</v>
      </c>
      <c r="V28" s="289"/>
      <c r="W28" s="289">
        <f>SUM(W24:W27)</f>
        <v>110592</v>
      </c>
      <c r="X28" s="53"/>
      <c r="Y28" s="53">
        <f>SUM(Y24:Y27)</f>
        <v>145000</v>
      </c>
    </row>
    <row r="29" spans="1:26" ht="30" customHeight="1" x14ac:dyDescent="0.35">
      <c r="A29" s="50"/>
      <c r="B29" s="50"/>
      <c r="C29" s="50"/>
      <c r="D29" s="50" t="s">
        <v>8</v>
      </c>
      <c r="E29" s="50"/>
      <c r="F29" s="50"/>
      <c r="G29" s="53"/>
      <c r="L29" s="277"/>
      <c r="U29" s="283"/>
      <c r="V29" s="283"/>
      <c r="X29" s="42"/>
      <c r="Y29" s="42"/>
    </row>
    <row r="30" spans="1:26" x14ac:dyDescent="0.35">
      <c r="A30" s="50"/>
      <c r="B30" s="50"/>
      <c r="C30" s="50"/>
      <c r="D30" s="50"/>
      <c r="E30" s="50" t="s">
        <v>32</v>
      </c>
      <c r="F30" s="50"/>
      <c r="G30" s="53">
        <v>0</v>
      </c>
      <c r="L30" s="277"/>
      <c r="U30" s="283"/>
      <c r="V30" s="283"/>
      <c r="X30" s="42"/>
      <c r="Y30" s="42"/>
    </row>
    <row r="31" spans="1:26" s="46" customFormat="1" ht="15" thickBot="1" x14ac:dyDescent="0.4">
      <c r="A31" s="54"/>
      <c r="B31" s="54"/>
      <c r="C31" s="54"/>
      <c r="D31" s="54"/>
      <c r="E31" s="54"/>
      <c r="F31" s="54" t="s">
        <v>33</v>
      </c>
      <c r="G31" s="58">
        <v>120000</v>
      </c>
      <c r="H31" s="294">
        <v>96540</v>
      </c>
      <c r="I31" s="294"/>
      <c r="J31" s="296">
        <v>103698.45</v>
      </c>
      <c r="K31" s="294">
        <v>136536</v>
      </c>
      <c r="L31" s="295"/>
      <c r="M31" s="294">
        <v>96670</v>
      </c>
      <c r="N31" s="283"/>
      <c r="O31" s="365">
        <f>ROUND(IF(M31=0, IF(K31=0, 0, 1), M31/K31),5)</f>
        <v>0.70801999999999998</v>
      </c>
      <c r="P31" s="283"/>
      <c r="Q31" s="294">
        <f>ROUND((M31-O31),5)</f>
        <v>96669.291979999995</v>
      </c>
      <c r="R31" s="283"/>
      <c r="S31" s="294">
        <f>ROUND(IF(O31=0, IF(M31=0, 0, 1), M31/O31),5)</f>
        <v>136535.69107999999</v>
      </c>
      <c r="T31" s="283"/>
      <c r="U31" s="294">
        <v>132564</v>
      </c>
      <c r="V31" s="294"/>
      <c r="W31" s="294">
        <v>129000</v>
      </c>
      <c r="X31" s="70"/>
      <c r="Y31" s="393">
        <v>128700</v>
      </c>
      <c r="Z31" s="46" t="s">
        <v>321</v>
      </c>
    </row>
    <row r="32" spans="1:26" s="46" customFormat="1" x14ac:dyDescent="0.35">
      <c r="A32" s="54"/>
      <c r="B32" s="54"/>
      <c r="C32" s="54"/>
      <c r="D32" s="54"/>
      <c r="E32" s="54" t="s">
        <v>34</v>
      </c>
      <c r="F32" s="54"/>
      <c r="G32" s="55">
        <f>SUM(G30:G31)</f>
        <v>120000</v>
      </c>
      <c r="H32" s="283">
        <f>ROUND(SUM(H30:H31),5)</f>
        <v>96540</v>
      </c>
      <c r="I32" s="283"/>
      <c r="J32" s="283">
        <f>ROUND(SUM(J30:J31),5)</f>
        <v>103698.45</v>
      </c>
      <c r="K32" s="283">
        <f>ROUND(SUM(K30:K31),5)</f>
        <v>136536</v>
      </c>
      <c r="L32" s="289"/>
      <c r="M32" s="283">
        <f>ROUND(SUM(M30:M31),5)</f>
        <v>96670</v>
      </c>
      <c r="N32" s="283"/>
      <c r="O32" s="366">
        <f>ROUND(SUM(O30:O31),5)</f>
        <v>0.70801999999999998</v>
      </c>
      <c r="P32" s="283"/>
      <c r="Q32" s="283">
        <f>ROUND((M32-O32),5)</f>
        <v>96669.291979999995</v>
      </c>
      <c r="R32" s="283"/>
      <c r="S32" s="283">
        <f>ROUND(IF(O32=0, IF(M32=0, 0, 1), M32/O32),5)</f>
        <v>136535.69107999999</v>
      </c>
      <c r="T32" s="283"/>
      <c r="U32" s="283">
        <f>ROUND(SUM(U30:U31),5)</f>
        <v>132564</v>
      </c>
      <c r="V32" s="283"/>
      <c r="W32" s="283">
        <f>ROUND(SUM(W30:W31),5)</f>
        <v>129000</v>
      </c>
      <c r="X32" s="42"/>
      <c r="Y32" s="42">
        <f>ROUND(SUM(Y30:Y31),5)</f>
        <v>128700</v>
      </c>
    </row>
    <row r="33" spans="1:26" s="46" customFormat="1" x14ac:dyDescent="0.35">
      <c r="A33" s="54"/>
      <c r="B33" s="54"/>
      <c r="C33" s="54"/>
      <c r="D33" s="54"/>
      <c r="E33" s="54"/>
      <c r="F33" s="54"/>
      <c r="G33" s="55"/>
      <c r="H33" s="283"/>
      <c r="I33" s="283"/>
      <c r="J33" s="283"/>
      <c r="K33" s="283"/>
      <c r="L33" s="289"/>
      <c r="M33" s="283"/>
      <c r="N33" s="283"/>
      <c r="O33" s="366"/>
      <c r="P33" s="283"/>
      <c r="Q33" s="283"/>
      <c r="R33" s="283"/>
      <c r="S33" s="283"/>
      <c r="T33" s="283"/>
      <c r="U33" s="283"/>
      <c r="V33" s="283"/>
      <c r="W33" s="283"/>
      <c r="X33" s="42"/>
      <c r="Y33" s="42"/>
    </row>
    <row r="34" spans="1:26" s="46" customFormat="1" x14ac:dyDescent="0.35">
      <c r="A34" s="54"/>
      <c r="B34" s="54"/>
      <c r="C34" s="54"/>
      <c r="D34" s="54"/>
      <c r="E34" s="54" t="s">
        <v>120</v>
      </c>
      <c r="F34" s="54"/>
      <c r="G34" s="55"/>
      <c r="H34" s="300">
        <v>12000</v>
      </c>
      <c r="I34" s="300"/>
      <c r="J34" s="283">
        <v>24000</v>
      </c>
      <c r="K34" s="283">
        <v>30000</v>
      </c>
      <c r="L34" s="289"/>
      <c r="M34" s="283">
        <f>18000+2000</f>
        <v>20000</v>
      </c>
      <c r="N34" s="283"/>
      <c r="O34" s="357">
        <v>0</v>
      </c>
      <c r="P34" s="283"/>
      <c r="Q34" s="283"/>
      <c r="R34" s="283"/>
      <c r="S34" s="283"/>
      <c r="T34" s="283"/>
      <c r="U34" s="283">
        <v>30000</v>
      </c>
      <c r="V34" s="283"/>
      <c r="W34" s="283"/>
      <c r="X34" s="42"/>
      <c r="Y34" s="42"/>
      <c r="Z34" s="46" t="s">
        <v>346</v>
      </c>
    </row>
    <row r="35" spans="1:26" s="46" customFormat="1" x14ac:dyDescent="0.35">
      <c r="A35" s="54"/>
      <c r="B35" s="54"/>
      <c r="C35" s="54"/>
      <c r="D35" s="54"/>
      <c r="E35" s="54" t="s">
        <v>56</v>
      </c>
      <c r="F35" s="54"/>
      <c r="G35" s="55"/>
      <c r="H35" s="283">
        <v>0</v>
      </c>
      <c r="I35" s="283"/>
      <c r="J35" s="283">
        <v>0</v>
      </c>
      <c r="K35" s="283">
        <v>0</v>
      </c>
      <c r="L35" s="289"/>
      <c r="M35" s="283">
        <v>27500</v>
      </c>
      <c r="N35" s="283"/>
      <c r="O35" s="357" t="e">
        <f t="shared" ref="O35:O43" si="1">ROUND(IF(M35=0, IF(K35=0, 0, 1), M35/K35),5)</f>
        <v>#DIV/0!</v>
      </c>
      <c r="P35" s="283"/>
      <c r="Q35" s="283" t="e">
        <f t="shared" ref="Q35:Q44" si="2">ROUND((M35-O35),5)</f>
        <v>#DIV/0!</v>
      </c>
      <c r="R35" s="283"/>
      <c r="S35" s="283" t="e">
        <f t="shared" ref="S35:S42" si="3">ROUND(IF(O35=0, IF(M35=0, 0, 1), M35/O35),5)</f>
        <v>#DIV/0!</v>
      </c>
      <c r="T35" s="283"/>
      <c r="U35" s="283">
        <v>30000</v>
      </c>
      <c r="V35" s="283"/>
      <c r="W35" s="283"/>
      <c r="X35" s="42"/>
      <c r="Y35" s="42">
        <v>0</v>
      </c>
      <c r="Z35" s="46" t="s">
        <v>133</v>
      </c>
    </row>
    <row r="36" spans="1:26" s="46" customFormat="1" ht="15" customHeight="1" x14ac:dyDescent="0.35">
      <c r="A36" s="54"/>
      <c r="B36" s="54"/>
      <c r="C36" s="54"/>
      <c r="D36" s="54"/>
      <c r="E36" s="54" t="s">
        <v>47</v>
      </c>
      <c r="F36" s="54"/>
      <c r="G36" s="55">
        <v>0</v>
      </c>
      <c r="H36" s="300">
        <v>12000</v>
      </c>
      <c r="I36" s="300"/>
      <c r="J36" s="283">
        <v>23000</v>
      </c>
      <c r="K36" s="283">
        <v>30000</v>
      </c>
      <c r="L36" s="289"/>
      <c r="M36" s="283">
        <v>21863</v>
      </c>
      <c r="N36" s="283"/>
      <c r="O36" s="357">
        <f t="shared" si="1"/>
        <v>0.72877000000000003</v>
      </c>
      <c r="P36" s="283"/>
      <c r="Q36" s="283">
        <f t="shared" si="2"/>
        <v>21862.271229999998</v>
      </c>
      <c r="R36" s="283"/>
      <c r="S36" s="283">
        <f t="shared" si="3"/>
        <v>29999.862779999999</v>
      </c>
      <c r="T36" s="283"/>
      <c r="U36" s="283">
        <v>30000</v>
      </c>
      <c r="V36" s="283"/>
      <c r="W36" s="283">
        <v>12750</v>
      </c>
      <c r="X36" s="43"/>
      <c r="Y36" s="43">
        <v>20000</v>
      </c>
    </row>
    <row r="37" spans="1:26" s="46" customFormat="1" ht="15" customHeight="1" x14ac:dyDescent="0.35">
      <c r="A37" s="54"/>
      <c r="B37" s="54"/>
      <c r="C37" s="54"/>
      <c r="D37" s="54"/>
      <c r="E37" s="54" t="s">
        <v>48</v>
      </c>
      <c r="F37" s="54"/>
      <c r="G37" s="55">
        <v>0</v>
      </c>
      <c r="H37" s="300">
        <v>0</v>
      </c>
      <c r="I37" s="300"/>
      <c r="J37" s="283">
        <v>24000</v>
      </c>
      <c r="K37" s="283">
        <v>20000</v>
      </c>
      <c r="L37" s="289"/>
      <c r="M37" s="283"/>
      <c r="N37" s="283"/>
      <c r="O37" s="357">
        <f t="shared" si="1"/>
        <v>1</v>
      </c>
      <c r="P37" s="283"/>
      <c r="Q37" s="283">
        <f t="shared" si="2"/>
        <v>-1</v>
      </c>
      <c r="R37" s="283"/>
      <c r="S37" s="283">
        <f t="shared" si="3"/>
        <v>0</v>
      </c>
      <c r="T37" s="283"/>
      <c r="U37" s="283">
        <v>0</v>
      </c>
      <c r="V37" s="283"/>
      <c r="W37" s="283"/>
      <c r="X37" s="43"/>
      <c r="Y37" s="43">
        <v>20000</v>
      </c>
      <c r="Z37" s="46" t="s">
        <v>347</v>
      </c>
    </row>
    <row r="38" spans="1:26" s="46" customFormat="1" ht="15" customHeight="1" x14ac:dyDescent="0.35">
      <c r="A38" s="54"/>
      <c r="B38" s="54"/>
      <c r="C38" s="54"/>
      <c r="D38" s="54"/>
      <c r="E38" s="54" t="s">
        <v>36</v>
      </c>
      <c r="F38" s="54"/>
      <c r="G38" s="55">
        <v>20200</v>
      </c>
      <c r="H38" s="283">
        <v>10000</v>
      </c>
      <c r="I38" s="283"/>
      <c r="J38" s="283">
        <v>12000</v>
      </c>
      <c r="K38" s="283">
        <v>10000</v>
      </c>
      <c r="L38" s="289"/>
      <c r="M38" s="283">
        <v>9500</v>
      </c>
      <c r="N38" s="283"/>
      <c r="O38" s="357">
        <f t="shared" si="1"/>
        <v>0.95</v>
      </c>
      <c r="P38" s="283"/>
      <c r="Q38" s="283">
        <f t="shared" si="2"/>
        <v>9499.0499999999993</v>
      </c>
      <c r="R38" s="283"/>
      <c r="S38" s="283">
        <f t="shared" si="3"/>
        <v>10000</v>
      </c>
      <c r="T38" s="283"/>
      <c r="U38" s="283">
        <v>10000</v>
      </c>
      <c r="V38" s="283"/>
      <c r="W38" s="283">
        <v>26785</v>
      </c>
      <c r="X38" s="42"/>
      <c r="Y38" s="42">
        <v>13200</v>
      </c>
    </row>
    <row r="39" spans="1:26" s="46" customFormat="1" ht="15" customHeight="1" x14ac:dyDescent="0.35">
      <c r="A39" s="54"/>
      <c r="B39" s="54"/>
      <c r="C39" s="54"/>
      <c r="D39" s="54"/>
      <c r="E39" s="54" t="s">
        <v>9</v>
      </c>
      <c r="F39" s="54"/>
      <c r="G39" s="55">
        <v>6904</v>
      </c>
      <c r="H39" s="283">
        <v>45000</v>
      </c>
      <c r="I39" s="283"/>
      <c r="J39" s="283">
        <v>45000</v>
      </c>
      <c r="K39" s="283">
        <v>40000</v>
      </c>
      <c r="L39" s="289"/>
      <c r="M39" s="283">
        <v>29014</v>
      </c>
      <c r="N39" s="283"/>
      <c r="O39" s="357">
        <f t="shared" si="1"/>
        <v>0.72535000000000005</v>
      </c>
      <c r="P39" s="283"/>
      <c r="Q39" s="283">
        <f t="shared" si="2"/>
        <v>29013.274649999999</v>
      </c>
      <c r="R39" s="283"/>
      <c r="S39" s="283">
        <f t="shared" si="3"/>
        <v>40000</v>
      </c>
      <c r="T39" s="283"/>
      <c r="U39" s="283">
        <v>40000</v>
      </c>
      <c r="V39" s="283"/>
      <c r="W39" s="283">
        <v>27227</v>
      </c>
      <c r="X39" s="43"/>
      <c r="Y39" s="43">
        <v>15000</v>
      </c>
      <c r="Z39" s="46" t="s">
        <v>288</v>
      </c>
    </row>
    <row r="40" spans="1:26" s="46" customFormat="1" x14ac:dyDescent="0.35">
      <c r="A40" s="54"/>
      <c r="B40" s="54"/>
      <c r="C40" s="54"/>
      <c r="D40" s="54"/>
      <c r="E40" s="54" t="s">
        <v>10</v>
      </c>
      <c r="F40" s="54"/>
      <c r="G40" s="55">
        <v>7475</v>
      </c>
      <c r="H40" s="283">
        <v>8000</v>
      </c>
      <c r="I40" s="283"/>
      <c r="J40" s="283">
        <v>8000</v>
      </c>
      <c r="K40" s="283">
        <v>8000</v>
      </c>
      <c r="L40" s="289"/>
      <c r="M40" s="283">
        <v>6968</v>
      </c>
      <c r="N40" s="283"/>
      <c r="O40" s="357">
        <f t="shared" si="1"/>
        <v>0.871</v>
      </c>
      <c r="P40" s="283"/>
      <c r="Q40" s="283">
        <f t="shared" si="2"/>
        <v>6967.1289999999999</v>
      </c>
      <c r="R40" s="283"/>
      <c r="S40" s="283">
        <f t="shared" si="3"/>
        <v>8000</v>
      </c>
      <c r="T40" s="283"/>
      <c r="U40" s="283">
        <v>8000</v>
      </c>
      <c r="V40" s="283"/>
      <c r="W40" s="283">
        <v>7426</v>
      </c>
      <c r="X40" s="43"/>
      <c r="Y40" s="43">
        <v>8000</v>
      </c>
      <c r="Z40" s="46" t="s">
        <v>317</v>
      </c>
    </row>
    <row r="41" spans="1:26" x14ac:dyDescent="0.35">
      <c r="A41" s="50"/>
      <c r="B41" s="50"/>
      <c r="C41" s="50"/>
      <c r="D41" s="50"/>
      <c r="E41" s="50" t="s">
        <v>11</v>
      </c>
      <c r="F41" s="50"/>
      <c r="G41" s="53">
        <v>7210</v>
      </c>
      <c r="H41" s="283">
        <v>7500</v>
      </c>
      <c r="J41" s="283">
        <v>7500</v>
      </c>
      <c r="K41" s="283">
        <v>15000</v>
      </c>
      <c r="L41" s="277"/>
      <c r="M41" s="287">
        <v>8000</v>
      </c>
      <c r="O41" s="367">
        <f t="shared" si="1"/>
        <v>0.53332999999999997</v>
      </c>
      <c r="Q41" s="94">
        <f t="shared" si="2"/>
        <v>7999.4666699999998</v>
      </c>
      <c r="S41" s="94">
        <f t="shared" si="3"/>
        <v>15000.09375</v>
      </c>
      <c r="U41" s="283">
        <v>8000</v>
      </c>
      <c r="V41" s="283"/>
      <c r="W41" s="283">
        <v>7458</v>
      </c>
      <c r="X41" s="42"/>
      <c r="Y41" s="42">
        <v>7200</v>
      </c>
      <c r="Z41" s="4" t="s">
        <v>356</v>
      </c>
    </row>
    <row r="42" spans="1:26" s="46" customFormat="1" x14ac:dyDescent="0.35">
      <c r="A42" s="54"/>
      <c r="B42" s="54"/>
      <c r="C42" s="54"/>
      <c r="D42" s="54"/>
      <c r="E42" s="54" t="s">
        <v>132</v>
      </c>
      <c r="F42" s="54"/>
      <c r="G42" s="55">
        <v>22500</v>
      </c>
      <c r="H42" s="300">
        <v>20000</v>
      </c>
      <c r="I42" s="300"/>
      <c r="J42" s="283">
        <v>41000</v>
      </c>
      <c r="K42" s="283">
        <v>36000</v>
      </c>
      <c r="L42" s="289"/>
      <c r="M42" s="287">
        <v>27500</v>
      </c>
      <c r="N42" s="283"/>
      <c r="O42" s="357">
        <f t="shared" si="1"/>
        <v>0.76388999999999996</v>
      </c>
      <c r="P42" s="283"/>
      <c r="Q42" s="283">
        <f t="shared" si="2"/>
        <v>27499.236110000002</v>
      </c>
      <c r="R42" s="283"/>
      <c r="S42" s="283">
        <f t="shared" si="3"/>
        <v>35999.947639999999</v>
      </c>
      <c r="T42" s="283"/>
      <c r="U42" s="283">
        <v>30000</v>
      </c>
      <c r="V42" s="283"/>
      <c r="W42" s="283">
        <v>30030</v>
      </c>
      <c r="X42" s="42"/>
      <c r="Y42" s="42">
        <v>30000</v>
      </c>
      <c r="Z42" s="46" t="s">
        <v>318</v>
      </c>
    </row>
    <row r="43" spans="1:26" ht="15" thickBot="1" x14ac:dyDescent="0.4">
      <c r="A43" s="50"/>
      <c r="B43" s="50"/>
      <c r="C43" s="50"/>
      <c r="D43" s="50"/>
      <c r="E43" s="50" t="s">
        <v>45</v>
      </c>
      <c r="F43" s="50"/>
      <c r="G43" s="62">
        <v>17750</v>
      </c>
      <c r="H43" s="294">
        <v>30000</v>
      </c>
      <c r="I43" s="294"/>
      <c r="J43" s="294">
        <v>30000</v>
      </c>
      <c r="K43" s="294">
        <v>40000</v>
      </c>
      <c r="L43" s="297"/>
      <c r="M43" s="298">
        <f>9813+2500-1354</f>
        <v>10959</v>
      </c>
      <c r="O43" s="368">
        <f t="shared" si="1"/>
        <v>0.27398</v>
      </c>
      <c r="Q43" s="95">
        <f t="shared" si="2"/>
        <v>10958.72602</v>
      </c>
      <c r="S43" s="95">
        <f>ROUND(IF(O43=0, IF(O43=0, 0, 1),M43/ O43),5)</f>
        <v>39999.270020000004</v>
      </c>
      <c r="U43" s="294">
        <v>30000</v>
      </c>
      <c r="V43" s="294"/>
      <c r="W43" s="294">
        <v>17000</v>
      </c>
      <c r="X43" s="70"/>
      <c r="Y43" s="393">
        <v>17500</v>
      </c>
      <c r="Z43" s="46" t="s">
        <v>348</v>
      </c>
    </row>
    <row r="44" spans="1:26" s="46" customFormat="1" ht="16" customHeight="1" x14ac:dyDescent="0.35">
      <c r="A44" s="54"/>
      <c r="B44" s="54"/>
      <c r="C44" s="54"/>
      <c r="D44" s="54" t="s">
        <v>12</v>
      </c>
      <c r="E44" s="54"/>
      <c r="F44" s="54"/>
      <c r="G44" s="55">
        <f>SUM(G32:G43)</f>
        <v>202039</v>
      </c>
      <c r="H44" s="289">
        <f>SUM(H32:H43)</f>
        <v>241040</v>
      </c>
      <c r="I44" s="289"/>
      <c r="J44" s="289">
        <f>SUM(J32:J43)</f>
        <v>318198.45</v>
      </c>
      <c r="K44" s="289">
        <f>SUM(K32:K43)</f>
        <v>365536</v>
      </c>
      <c r="L44" s="289"/>
      <c r="M44" s="283">
        <f>ROUND(M29+SUM(M32:M43),5)</f>
        <v>257974</v>
      </c>
      <c r="N44" s="283"/>
      <c r="O44" s="366"/>
      <c r="P44" s="283"/>
      <c r="Q44" s="287">
        <f t="shared" si="2"/>
        <v>257974</v>
      </c>
      <c r="R44" s="283"/>
      <c r="S44" s="283">
        <f>ROUND(IF(O44=0, IF(O44=0, 0, 1),M44/ O44),5)</f>
        <v>0</v>
      </c>
      <c r="T44" s="283"/>
      <c r="U44" s="289">
        <f>SUM(U32:U43)</f>
        <v>348564</v>
      </c>
      <c r="V44" s="289"/>
      <c r="W44" s="283">
        <f>ROUND(W29+SUM(W32:W43),5)</f>
        <v>257676</v>
      </c>
      <c r="X44" s="43"/>
      <c r="Y44" s="43">
        <f>ROUND(Y29+SUM(Y32:Y43),5)</f>
        <v>259600</v>
      </c>
    </row>
    <row r="45" spans="1:26" x14ac:dyDescent="0.35">
      <c r="A45" s="50"/>
      <c r="B45" s="50"/>
      <c r="C45" s="50"/>
      <c r="D45" s="50"/>
      <c r="E45" s="50"/>
      <c r="F45" s="50"/>
      <c r="G45" s="53"/>
      <c r="L45" s="277"/>
      <c r="M45" s="289"/>
      <c r="Q45" s="293"/>
      <c r="U45" s="283"/>
      <c r="V45" s="283"/>
      <c r="X45" s="42"/>
      <c r="Y45" s="42"/>
    </row>
    <row r="46" spans="1:26" s="348" customFormat="1" x14ac:dyDescent="0.35">
      <c r="A46" s="343"/>
      <c r="B46" s="343"/>
      <c r="C46" s="343"/>
      <c r="D46" s="343" t="s">
        <v>55</v>
      </c>
      <c r="E46" s="343"/>
      <c r="F46" s="343"/>
      <c r="G46" s="349"/>
      <c r="H46" s="350"/>
      <c r="I46" s="350"/>
      <c r="J46" s="350"/>
      <c r="K46" s="350"/>
      <c r="L46" s="351"/>
      <c r="M46" s="352"/>
      <c r="N46" s="350"/>
      <c r="O46" s="369"/>
      <c r="P46" s="350"/>
      <c r="Q46" s="350"/>
      <c r="R46" s="350"/>
      <c r="S46" s="350"/>
      <c r="T46" s="350"/>
      <c r="U46" s="350"/>
      <c r="V46" s="350"/>
      <c r="W46" s="347"/>
      <c r="X46" s="394"/>
      <c r="Y46" s="394"/>
    </row>
    <row r="47" spans="1:26" s="348" customFormat="1" x14ac:dyDescent="0.35">
      <c r="A47" s="343"/>
      <c r="B47" s="343"/>
      <c r="C47" s="343"/>
      <c r="D47" s="343"/>
      <c r="E47" s="343" t="s">
        <v>286</v>
      </c>
      <c r="F47" s="343"/>
      <c r="G47" s="349"/>
      <c r="H47" s="350">
        <v>827562.02</v>
      </c>
      <c r="I47" s="350"/>
      <c r="J47" s="350">
        <v>827562.02</v>
      </c>
      <c r="K47" s="350">
        <v>953297</v>
      </c>
      <c r="L47" s="351"/>
      <c r="M47" s="352">
        <v>655437.98</v>
      </c>
      <c r="N47" s="347"/>
      <c r="O47" s="369" t="e">
        <f>ROUND(IF(#REF!=0, IF(#REF!=0, 0, 1),#REF! /#REF!),5)</f>
        <v>#REF!</v>
      </c>
      <c r="P47" s="347"/>
      <c r="Q47" s="347" t="e">
        <f>ROUND((#REF!-O47),5)</f>
        <v>#REF!</v>
      </c>
      <c r="R47" s="347"/>
      <c r="S47" s="350"/>
      <c r="T47" s="347"/>
      <c r="U47" s="350">
        <v>1483000</v>
      </c>
      <c r="V47" s="350"/>
      <c r="W47" s="347"/>
      <c r="X47" s="394"/>
      <c r="Y47" s="394"/>
      <c r="Z47" s="348" t="s">
        <v>139</v>
      </c>
    </row>
    <row r="48" spans="1:26" s="348" customFormat="1" x14ac:dyDescent="0.35">
      <c r="A48" s="343"/>
      <c r="B48" s="343"/>
      <c r="C48" s="343"/>
      <c r="D48" s="343"/>
      <c r="E48" s="343" t="s">
        <v>287</v>
      </c>
      <c r="F48" s="353"/>
      <c r="G48" s="349"/>
      <c r="H48" s="350">
        <v>240000</v>
      </c>
      <c r="I48" s="350"/>
      <c r="J48" s="350">
        <v>240000</v>
      </c>
      <c r="K48" s="350">
        <v>240000</v>
      </c>
      <c r="L48" s="351"/>
      <c r="M48" s="352"/>
      <c r="N48" s="347"/>
      <c r="O48" s="369" t="e">
        <f>ROUND(IF(#REF!=0, IF(#REF!=0, 0, 1),#REF! /#REF!),5)</f>
        <v>#REF!</v>
      </c>
      <c r="P48" s="347"/>
      <c r="Q48" s="347"/>
      <c r="R48" s="347"/>
      <c r="S48" s="350"/>
      <c r="T48" s="347"/>
      <c r="U48" s="350">
        <v>240000</v>
      </c>
      <c r="V48" s="350"/>
      <c r="W48" s="347"/>
      <c r="X48" s="394"/>
      <c r="Y48" s="394"/>
      <c r="Z48" s="348" t="s">
        <v>181</v>
      </c>
    </row>
    <row r="49" spans="1:26" s="348" customFormat="1" x14ac:dyDescent="0.35">
      <c r="A49" s="343"/>
      <c r="B49" s="343"/>
      <c r="C49" s="343"/>
      <c r="D49" s="343"/>
      <c r="E49" s="343" t="s">
        <v>131</v>
      </c>
      <c r="F49" s="343"/>
      <c r="G49" s="349"/>
      <c r="H49" s="350">
        <v>950000</v>
      </c>
      <c r="I49" s="350"/>
      <c r="J49" s="350">
        <v>950000</v>
      </c>
      <c r="K49" s="350">
        <v>1000000</v>
      </c>
      <c r="L49" s="351"/>
      <c r="M49" s="352">
        <v>0</v>
      </c>
      <c r="N49" s="347"/>
      <c r="O49" s="369" t="e">
        <f>ROUND(IF(#REF!=0, IF(#REF!=0, 0, 1),#REF! /#REF!),5)</f>
        <v>#REF!</v>
      </c>
      <c r="P49" s="347"/>
      <c r="Q49" s="347"/>
      <c r="R49" s="347"/>
      <c r="S49" s="350"/>
      <c r="T49" s="347"/>
      <c r="U49" s="350">
        <v>1000000</v>
      </c>
      <c r="V49" s="350"/>
      <c r="W49" s="347"/>
      <c r="X49" s="394"/>
      <c r="Y49" s="394"/>
      <c r="Z49" s="348" t="s">
        <v>180</v>
      </c>
    </row>
    <row r="50" spans="1:26" s="348" customFormat="1" x14ac:dyDescent="0.35">
      <c r="A50" s="343"/>
      <c r="B50" s="343"/>
      <c r="C50" s="343"/>
      <c r="D50" s="343"/>
      <c r="E50" s="343" t="s">
        <v>113</v>
      </c>
      <c r="F50" s="343"/>
      <c r="G50" s="349"/>
      <c r="H50" s="350">
        <v>20000</v>
      </c>
      <c r="I50" s="350"/>
      <c r="J50" s="350">
        <v>20000</v>
      </c>
      <c r="K50" s="350">
        <v>20000</v>
      </c>
      <c r="L50" s="351"/>
      <c r="M50" s="352"/>
      <c r="N50" s="347"/>
      <c r="O50" s="369" t="e">
        <f>ROUND(IF(#REF!=0, IF(#REF!=0, 0, 1),#REF! /#REF!),5)</f>
        <v>#REF!</v>
      </c>
      <c r="P50" s="347"/>
      <c r="Q50" s="347"/>
      <c r="R50" s="347"/>
      <c r="S50" s="350"/>
      <c r="T50" s="347"/>
      <c r="U50" s="350">
        <v>20000</v>
      </c>
      <c r="V50" s="350"/>
      <c r="W50" s="347"/>
      <c r="X50" s="394"/>
      <c r="Y50" s="394"/>
      <c r="Z50" s="348" t="s">
        <v>320</v>
      </c>
    </row>
    <row r="51" spans="1:26" s="348" customFormat="1" x14ac:dyDescent="0.35">
      <c r="A51" s="343"/>
      <c r="B51" s="343"/>
      <c r="C51" s="343"/>
      <c r="D51" s="343"/>
      <c r="E51" s="343" t="s">
        <v>114</v>
      </c>
      <c r="F51" s="343"/>
      <c r="G51" s="349"/>
      <c r="H51" s="350">
        <v>50000</v>
      </c>
      <c r="I51" s="350"/>
      <c r="J51" s="350">
        <v>50000</v>
      </c>
      <c r="K51" s="350">
        <v>40000</v>
      </c>
      <c r="L51" s="351"/>
      <c r="M51" s="352"/>
      <c r="N51" s="347"/>
      <c r="O51" s="369" t="e">
        <f>ROUND(IF(#REF!=0, IF(#REF!=0, 0, 1),#REF! /#REF!),5)</f>
        <v>#REF!</v>
      </c>
      <c r="P51" s="347"/>
      <c r="Q51" s="347"/>
      <c r="R51" s="347"/>
      <c r="S51" s="350"/>
      <c r="T51" s="347"/>
      <c r="U51" s="350">
        <v>50000</v>
      </c>
      <c r="V51" s="350"/>
      <c r="W51" s="347"/>
      <c r="X51" s="394"/>
      <c r="Y51" s="394"/>
      <c r="Z51" s="348" t="s">
        <v>320</v>
      </c>
    </row>
    <row r="52" spans="1:26" s="348" customFormat="1" x14ac:dyDescent="0.35">
      <c r="A52" s="343"/>
      <c r="B52" s="343"/>
      <c r="C52" s="343"/>
      <c r="D52" s="343"/>
      <c r="E52" s="343" t="s">
        <v>115</v>
      </c>
      <c r="F52" s="343"/>
      <c r="G52" s="349"/>
      <c r="H52" s="350">
        <v>18075</v>
      </c>
      <c r="I52" s="350"/>
      <c r="J52" s="350">
        <v>18075</v>
      </c>
      <c r="K52" s="350">
        <v>34125</v>
      </c>
      <c r="L52" s="351"/>
      <c r="M52" s="352">
        <f>22375+4550</f>
        <v>26925</v>
      </c>
      <c r="N52" s="347"/>
      <c r="O52" s="369" t="e">
        <f>ROUND(IF(#REF!=0, IF(#REF!=0, 0, 1),#REF! /#REF!),5)</f>
        <v>#REF!</v>
      </c>
      <c r="P52" s="347"/>
      <c r="Q52" s="347"/>
      <c r="R52" s="347"/>
      <c r="S52" s="350"/>
      <c r="T52" s="347"/>
      <c r="U52" s="350">
        <v>45000</v>
      </c>
      <c r="V52" s="350"/>
      <c r="W52" s="347"/>
      <c r="X52" s="394"/>
      <c r="Y52" s="394"/>
      <c r="Z52" s="348" t="s">
        <v>319</v>
      </c>
    </row>
    <row r="53" spans="1:26" s="348" customFormat="1" x14ac:dyDescent="0.35">
      <c r="A53" s="343"/>
      <c r="B53" s="343"/>
      <c r="C53" s="343"/>
      <c r="D53" s="343"/>
      <c r="E53" s="343" t="s">
        <v>116</v>
      </c>
      <c r="F53" s="343"/>
      <c r="G53" s="349"/>
      <c r="H53" s="350">
        <v>470000</v>
      </c>
      <c r="I53" s="350"/>
      <c r="J53" s="350">
        <v>470000</v>
      </c>
      <c r="K53" s="350">
        <v>470000</v>
      </c>
      <c r="L53" s="351"/>
      <c r="M53" s="352">
        <v>130000</v>
      </c>
      <c r="N53" s="347"/>
      <c r="O53" s="369" t="e">
        <f>ROUND(IF(#REF!=0, IF(#REF!=0, 0, 1),#REF! /#REF!),5)</f>
        <v>#REF!</v>
      </c>
      <c r="P53" s="347"/>
      <c r="Q53" s="347"/>
      <c r="R53" s="347"/>
      <c r="S53" s="350"/>
      <c r="T53" s="347"/>
      <c r="U53" s="350">
        <v>600000</v>
      </c>
      <c r="V53" s="350"/>
      <c r="W53" s="347"/>
      <c r="X53" s="394"/>
      <c r="Y53" s="394"/>
    </row>
    <row r="54" spans="1:26" s="348" customFormat="1" x14ac:dyDescent="0.35">
      <c r="A54" s="343"/>
      <c r="B54" s="343"/>
      <c r="C54" s="343"/>
      <c r="D54" s="343"/>
      <c r="E54" s="343" t="s">
        <v>117</v>
      </c>
      <c r="F54" s="343"/>
      <c r="G54" s="349"/>
      <c r="H54" s="350">
        <v>33500</v>
      </c>
      <c r="I54" s="350"/>
      <c r="J54" s="350">
        <v>33500</v>
      </c>
      <c r="K54" s="350">
        <v>33500</v>
      </c>
      <c r="L54" s="352"/>
      <c r="M54" s="352">
        <v>1500</v>
      </c>
      <c r="N54" s="350"/>
      <c r="O54" s="369" t="e">
        <f>ROUND(IF(#REF!=0, IF(#REF!=0, 0, 1),#REF! /#REF!),5)</f>
        <v>#REF!</v>
      </c>
      <c r="P54" s="350"/>
      <c r="Q54" s="350"/>
      <c r="R54" s="350"/>
      <c r="S54" s="350"/>
      <c r="T54" s="350"/>
      <c r="U54" s="350">
        <v>35000</v>
      </c>
      <c r="V54" s="350"/>
      <c r="W54" s="347"/>
      <c r="X54" s="394"/>
      <c r="Y54" s="394"/>
      <c r="Z54" s="348" t="s">
        <v>182</v>
      </c>
    </row>
    <row r="55" spans="1:26" s="443" customFormat="1" ht="15" thickBot="1" x14ac:dyDescent="0.4">
      <c r="A55" s="433"/>
      <c r="B55" s="433"/>
      <c r="C55" s="433"/>
      <c r="D55" s="433"/>
      <c r="E55" s="433" t="s">
        <v>349</v>
      </c>
      <c r="F55" s="434"/>
      <c r="G55" s="435"/>
      <c r="H55" s="436">
        <v>108473</v>
      </c>
      <c r="I55" s="436"/>
      <c r="J55" s="436">
        <v>108473</v>
      </c>
      <c r="K55" s="436">
        <v>76930</v>
      </c>
      <c r="L55" s="437"/>
      <c r="M55" s="438">
        <f>40777+8257</f>
        <v>49034</v>
      </c>
      <c r="N55" s="439"/>
      <c r="O55" s="440" t="e">
        <f>ROUND(IF(#REF!=0, IF(#REF!=0, 0, 1),#REF! /#REF!),5)</f>
        <v>#REF!</v>
      </c>
      <c r="P55" s="439"/>
      <c r="Q55" s="441"/>
      <c r="R55" s="439"/>
      <c r="S55" s="441"/>
      <c r="T55" s="439"/>
      <c r="U55" s="436">
        <v>99250</v>
      </c>
      <c r="V55" s="441"/>
      <c r="W55" s="436"/>
      <c r="X55" s="442"/>
      <c r="Y55" s="442"/>
      <c r="Z55" s="443" t="s">
        <v>357</v>
      </c>
    </row>
    <row r="56" spans="1:26" s="348" customFormat="1" ht="15" thickBot="1" x14ac:dyDescent="0.4">
      <c r="A56" s="343"/>
      <c r="B56" s="343"/>
      <c r="C56" s="343"/>
      <c r="D56" s="343" t="s">
        <v>57</v>
      </c>
      <c r="E56" s="343"/>
      <c r="F56" s="343"/>
      <c r="G56" s="349">
        <f>SUM(G54,G53)</f>
        <v>0</v>
      </c>
      <c r="H56" s="347">
        <f>SUM(H47:H55)</f>
        <v>2717610.02</v>
      </c>
      <c r="I56" s="347"/>
      <c r="J56" s="347">
        <f>SUM(J47:J55)</f>
        <v>2717610.02</v>
      </c>
      <c r="K56" s="351">
        <f>SUM(K47:K55)</f>
        <v>2867852</v>
      </c>
      <c r="L56" s="351"/>
      <c r="M56" s="347">
        <f>SUM(M47:M55)</f>
        <v>862896.98</v>
      </c>
      <c r="N56" s="347"/>
      <c r="O56" s="370"/>
      <c r="P56" s="347"/>
      <c r="Q56" s="347">
        <f>ROUND((M74-O56),5)</f>
        <v>105</v>
      </c>
      <c r="R56" s="347"/>
      <c r="S56" s="347" t="e">
        <f>ROUND(IF(O56=0, IF(#REF!=0, 0, 1),#REF!/ O56),5)</f>
        <v>#REF!</v>
      </c>
      <c r="T56" s="347"/>
      <c r="U56" s="347">
        <f>SUM(U47:U55)</f>
        <v>3572250</v>
      </c>
      <c r="V56" s="347"/>
      <c r="W56" s="350"/>
      <c r="X56" s="394"/>
      <c r="Y56" s="59"/>
      <c r="Z56" s="348" t="s">
        <v>134</v>
      </c>
    </row>
    <row r="57" spans="1:26" ht="30" customHeight="1" x14ac:dyDescent="0.35">
      <c r="A57" s="50"/>
      <c r="B57" s="50"/>
      <c r="C57" s="50"/>
      <c r="D57" s="50" t="s">
        <v>13</v>
      </c>
      <c r="E57" s="50"/>
      <c r="F57" s="50"/>
      <c r="G57" s="53"/>
      <c r="L57" s="277"/>
      <c r="U57" s="283"/>
      <c r="V57" s="283"/>
      <c r="X57" s="89"/>
      <c r="Y57" s="89">
        <f>ROUND(SUM(Y53:Y55),5)</f>
        <v>0</v>
      </c>
    </row>
    <row r="58" spans="1:26" x14ac:dyDescent="0.35">
      <c r="A58" s="50"/>
      <c r="B58" s="50"/>
      <c r="C58" s="50"/>
      <c r="D58" s="50"/>
      <c r="E58" s="50" t="s">
        <v>109</v>
      </c>
      <c r="F58" s="50"/>
      <c r="G58" s="53">
        <v>3529</v>
      </c>
      <c r="H58" s="283">
        <v>1200</v>
      </c>
      <c r="J58" s="283">
        <v>3200</v>
      </c>
      <c r="K58" s="283">
        <v>3000</v>
      </c>
      <c r="L58" s="277"/>
      <c r="M58" s="283">
        <v>3119</v>
      </c>
      <c r="O58" s="367">
        <f t="shared" ref="O58:O66" si="4">ROUND(IF(M58=0, IF(K58=0, 0, 1), M58/K58),5)</f>
        <v>1.0396700000000001</v>
      </c>
      <c r="Q58" s="94">
        <f t="shared" ref="Q58:Q67" si="5">ROUND((M58-O58),5)</f>
        <v>3117.9603299999999</v>
      </c>
      <c r="S58" s="94">
        <f t="shared" ref="S58:S67" si="6">ROUND(IF(O58=0, IF(M58=0, 0, 1), M58/O58),5)</f>
        <v>2999.9903800000002</v>
      </c>
      <c r="U58" s="283">
        <v>2300</v>
      </c>
      <c r="V58" s="283"/>
      <c r="W58" s="283">
        <v>1506</v>
      </c>
      <c r="X58" s="42"/>
      <c r="Y58" s="42"/>
      <c r="Z58" s="46" t="s">
        <v>299</v>
      </c>
    </row>
    <row r="59" spans="1:26" x14ac:dyDescent="0.35">
      <c r="A59" s="50"/>
      <c r="B59" s="50"/>
      <c r="C59" s="50"/>
      <c r="D59" s="50"/>
      <c r="E59" s="50" t="s">
        <v>14</v>
      </c>
      <c r="F59" s="50"/>
      <c r="G59" s="53">
        <v>527</v>
      </c>
      <c r="H59" s="283">
        <v>700</v>
      </c>
      <c r="J59" s="283">
        <v>700</v>
      </c>
      <c r="K59" s="283">
        <v>800</v>
      </c>
      <c r="L59" s="277"/>
      <c r="M59" s="283">
        <v>527</v>
      </c>
      <c r="O59" s="367">
        <f t="shared" si="4"/>
        <v>0.65874999999999995</v>
      </c>
      <c r="Q59" s="94">
        <f t="shared" si="5"/>
        <v>526.34124999999995</v>
      </c>
      <c r="S59" s="94">
        <f t="shared" si="6"/>
        <v>800</v>
      </c>
      <c r="U59" s="283">
        <v>800</v>
      </c>
      <c r="V59" s="283"/>
      <c r="W59" s="283">
        <v>647</v>
      </c>
      <c r="X59" s="42"/>
      <c r="Y59" s="42">
        <v>4000</v>
      </c>
    </row>
    <row r="60" spans="1:26" x14ac:dyDescent="0.35">
      <c r="A60" s="50"/>
      <c r="B60" s="50"/>
      <c r="C60" s="50"/>
      <c r="D60" s="50"/>
      <c r="E60" s="50" t="s">
        <v>40</v>
      </c>
      <c r="F60" s="50"/>
      <c r="G60" s="53">
        <v>213</v>
      </c>
      <c r="H60" s="283">
        <v>500</v>
      </c>
      <c r="J60" s="283">
        <v>500</v>
      </c>
      <c r="K60" s="283">
        <v>0</v>
      </c>
      <c r="L60" s="277"/>
      <c r="O60" s="367">
        <f t="shared" si="4"/>
        <v>0</v>
      </c>
      <c r="Q60" s="94">
        <f t="shared" si="5"/>
        <v>0</v>
      </c>
      <c r="S60" s="94">
        <f t="shared" si="6"/>
        <v>0</v>
      </c>
      <c r="U60" s="283">
        <v>800</v>
      </c>
      <c r="V60" s="283"/>
      <c r="W60" s="283">
        <v>636</v>
      </c>
      <c r="X60" s="42"/>
      <c r="Y60" s="42">
        <v>500</v>
      </c>
    </row>
    <row r="61" spans="1:26" x14ac:dyDescent="0.35">
      <c r="A61" s="50"/>
      <c r="B61" s="50"/>
      <c r="C61" s="50"/>
      <c r="D61" s="50"/>
      <c r="E61" s="50" t="s">
        <v>15</v>
      </c>
      <c r="F61" s="50"/>
      <c r="G61" s="53">
        <v>402</v>
      </c>
      <c r="H61" s="283">
        <v>700</v>
      </c>
      <c r="J61" s="283">
        <v>700</v>
      </c>
      <c r="K61" s="283">
        <v>800</v>
      </c>
      <c r="L61" s="277"/>
      <c r="M61" s="283">
        <f>582+255</f>
        <v>837</v>
      </c>
      <c r="O61" s="367">
        <f t="shared" si="4"/>
        <v>1.0462499999999999</v>
      </c>
      <c r="Q61" s="94">
        <f t="shared" si="5"/>
        <v>835.95375000000001</v>
      </c>
      <c r="S61" s="94">
        <f t="shared" si="6"/>
        <v>800</v>
      </c>
      <c r="U61" s="283">
        <v>500</v>
      </c>
      <c r="V61" s="283"/>
      <c r="W61" s="283">
        <v>633</v>
      </c>
      <c r="X61" s="42"/>
      <c r="Y61" s="42">
        <v>1000</v>
      </c>
    </row>
    <row r="62" spans="1:26" x14ac:dyDescent="0.35">
      <c r="A62" s="50"/>
      <c r="B62" s="50"/>
      <c r="C62" s="50"/>
      <c r="D62" s="50"/>
      <c r="E62" s="50" t="s">
        <v>35</v>
      </c>
      <c r="F62" s="50"/>
      <c r="G62" s="53">
        <v>0</v>
      </c>
      <c r="H62" s="283">
        <v>0</v>
      </c>
      <c r="J62" s="283">
        <v>0</v>
      </c>
      <c r="K62" s="283">
        <v>0</v>
      </c>
      <c r="L62" s="277"/>
      <c r="O62" s="367">
        <f t="shared" si="4"/>
        <v>0</v>
      </c>
      <c r="Q62" s="94">
        <f t="shared" si="5"/>
        <v>0</v>
      </c>
      <c r="S62" s="94">
        <f t="shared" si="6"/>
        <v>0</v>
      </c>
      <c r="U62" s="283">
        <v>0</v>
      </c>
      <c r="V62" s="283"/>
      <c r="X62" s="42"/>
      <c r="Y62" s="42">
        <v>500</v>
      </c>
    </row>
    <row r="63" spans="1:26" x14ac:dyDescent="0.35">
      <c r="A63" s="50"/>
      <c r="B63" s="50"/>
      <c r="C63" s="50"/>
      <c r="D63" s="50"/>
      <c r="E63" s="50" t="s">
        <v>16</v>
      </c>
      <c r="F63" s="50"/>
      <c r="G63" s="53">
        <v>2287</v>
      </c>
      <c r="H63" s="300">
        <v>0</v>
      </c>
      <c r="J63" s="283">
        <v>2400</v>
      </c>
      <c r="K63" s="283">
        <v>2400</v>
      </c>
      <c r="L63" s="277"/>
      <c r="M63" s="283">
        <v>2369</v>
      </c>
      <c r="O63" s="367">
        <f t="shared" si="4"/>
        <v>0.98707999999999996</v>
      </c>
      <c r="Q63" s="94">
        <f t="shared" si="5"/>
        <v>2368.0129200000001</v>
      </c>
      <c r="S63" s="94">
        <f t="shared" si="6"/>
        <v>2400.0081</v>
      </c>
      <c r="U63" s="283">
        <v>2300</v>
      </c>
      <c r="V63" s="283"/>
      <c r="W63" s="283">
        <v>2300</v>
      </c>
      <c r="X63" s="42"/>
      <c r="Y63" s="42">
        <v>0</v>
      </c>
    </row>
    <row r="64" spans="1:26" x14ac:dyDescent="0.35">
      <c r="A64" s="50"/>
      <c r="B64" s="50"/>
      <c r="C64" s="50"/>
      <c r="D64" s="50"/>
      <c r="E64" s="50" t="s">
        <v>17</v>
      </c>
      <c r="F64" s="50"/>
      <c r="G64" s="53">
        <v>1495</v>
      </c>
      <c r="H64" s="283">
        <v>250</v>
      </c>
      <c r="J64" s="283">
        <v>250</v>
      </c>
      <c r="K64" s="283">
        <v>200</v>
      </c>
      <c r="L64" s="277"/>
      <c r="M64" s="283">
        <v>197</v>
      </c>
      <c r="O64" s="367">
        <f t="shared" si="4"/>
        <v>0.98499999999999999</v>
      </c>
      <c r="Q64" s="94">
        <f t="shared" si="5"/>
        <v>196.01499999999999</v>
      </c>
      <c r="S64" s="94">
        <f t="shared" si="6"/>
        <v>200</v>
      </c>
      <c r="U64" s="283">
        <v>500</v>
      </c>
      <c r="V64" s="283"/>
      <c r="W64" s="283">
        <v>322</v>
      </c>
      <c r="X64" s="42"/>
      <c r="Y64" s="42">
        <v>2300</v>
      </c>
    </row>
    <row r="65" spans="1:26" x14ac:dyDescent="0.35">
      <c r="A65" s="50"/>
      <c r="B65" s="50"/>
      <c r="C65" s="50"/>
      <c r="D65" s="50"/>
      <c r="E65" s="50" t="s">
        <v>37</v>
      </c>
      <c r="F65" s="50"/>
      <c r="G65" s="53">
        <v>306</v>
      </c>
      <c r="H65" s="283">
        <v>325</v>
      </c>
      <c r="J65" s="283">
        <v>325</v>
      </c>
      <c r="K65" s="283">
        <v>325</v>
      </c>
      <c r="L65" s="277"/>
      <c r="M65" s="283">
        <v>317</v>
      </c>
      <c r="O65" s="367">
        <f t="shared" si="4"/>
        <v>0.97538000000000002</v>
      </c>
      <c r="Q65" s="94">
        <f t="shared" si="5"/>
        <v>316.02462000000003</v>
      </c>
      <c r="S65" s="94">
        <f t="shared" si="6"/>
        <v>325.00153999999998</v>
      </c>
      <c r="U65" s="283">
        <v>500</v>
      </c>
      <c r="V65" s="283"/>
      <c r="W65" s="283">
        <v>92</v>
      </c>
      <c r="X65" s="42"/>
      <c r="Y65" s="42">
        <v>1000</v>
      </c>
      <c r="Z65" s="4" t="s">
        <v>135</v>
      </c>
    </row>
    <row r="66" spans="1:26" ht="15" thickBot="1" x14ac:dyDescent="0.4">
      <c r="A66" s="50"/>
      <c r="B66" s="50"/>
      <c r="C66" s="50"/>
      <c r="D66" s="50"/>
      <c r="E66" s="50" t="s">
        <v>18</v>
      </c>
      <c r="F66" s="50"/>
      <c r="G66" s="62">
        <v>0</v>
      </c>
      <c r="H66" s="294">
        <v>500</v>
      </c>
      <c r="I66" s="294"/>
      <c r="J66" s="294">
        <v>500</v>
      </c>
      <c r="K66" s="294">
        <v>500</v>
      </c>
      <c r="L66" s="297"/>
      <c r="M66" s="294"/>
      <c r="O66" s="368">
        <f t="shared" si="4"/>
        <v>1</v>
      </c>
      <c r="Q66" s="95">
        <f t="shared" si="5"/>
        <v>-1</v>
      </c>
      <c r="S66" s="95">
        <f t="shared" si="6"/>
        <v>0</v>
      </c>
      <c r="U66" s="294">
        <v>500</v>
      </c>
      <c r="V66" s="287"/>
      <c r="W66" s="294">
        <v>14</v>
      </c>
      <c r="X66" s="42"/>
      <c r="Y66" s="42">
        <v>316</v>
      </c>
    </row>
    <row r="67" spans="1:26" ht="15" thickBot="1" x14ac:dyDescent="0.4">
      <c r="A67" s="50"/>
      <c r="B67" s="50"/>
      <c r="C67" s="50"/>
      <c r="D67" s="50" t="s">
        <v>19</v>
      </c>
      <c r="E67" s="50"/>
      <c r="F67" s="50"/>
      <c r="G67" s="53">
        <f>SUM(G58:G66)</f>
        <v>8759</v>
      </c>
      <c r="H67" s="283">
        <f>SUM(H58:H66)</f>
        <v>4175</v>
      </c>
      <c r="J67" s="283">
        <f>SUM(J58:J66)</f>
        <v>8575</v>
      </c>
      <c r="K67" s="283">
        <f>SUM(K58:K66)</f>
        <v>8025</v>
      </c>
      <c r="L67" s="277"/>
      <c r="M67" s="283">
        <f>ROUND(SUM(M58:M66),5)</f>
        <v>7366</v>
      </c>
      <c r="Q67" s="94">
        <f t="shared" si="5"/>
        <v>7366</v>
      </c>
      <c r="S67" s="94">
        <f t="shared" si="6"/>
        <v>1</v>
      </c>
      <c r="U67" s="283">
        <f>SUM(U58:U66)</f>
        <v>8200</v>
      </c>
      <c r="V67" s="283"/>
      <c r="W67" s="283">
        <f>ROUND(SUM(W58:W66),5)</f>
        <v>6150</v>
      </c>
      <c r="X67" s="70"/>
      <c r="Y67" s="393">
        <v>1000</v>
      </c>
    </row>
    <row r="68" spans="1:26" ht="30" customHeight="1" x14ac:dyDescent="0.35">
      <c r="A68" s="54"/>
      <c r="B68" s="50"/>
      <c r="C68" s="50"/>
      <c r="D68" s="50" t="s">
        <v>20</v>
      </c>
      <c r="E68" s="50"/>
      <c r="F68" s="50"/>
      <c r="G68" s="53"/>
      <c r="L68" s="277"/>
      <c r="U68" s="283"/>
      <c r="V68" s="283"/>
      <c r="X68" s="42"/>
      <c r="Y68" s="42">
        <f>ROUND(SUM(Y58:Y67),5)</f>
        <v>10616</v>
      </c>
    </row>
    <row r="69" spans="1:26" s="46" customFormat="1" x14ac:dyDescent="0.35">
      <c r="A69" s="54"/>
      <c r="B69" s="54"/>
      <c r="C69" s="54"/>
      <c r="D69" s="54"/>
      <c r="E69" s="54" t="s">
        <v>118</v>
      </c>
      <c r="F69" s="64"/>
      <c r="G69" s="55"/>
      <c r="H69" s="283">
        <v>0</v>
      </c>
      <c r="I69" s="283"/>
      <c r="J69" s="283">
        <v>0</v>
      </c>
      <c r="K69" s="283">
        <v>0</v>
      </c>
      <c r="L69" s="289"/>
      <c r="M69" s="283"/>
      <c r="N69" s="283"/>
      <c r="O69" s="367">
        <f>ROUND(IF(M69=0, IF(K69=0, 0, 1), M69/K69),5)</f>
        <v>0</v>
      </c>
      <c r="P69" s="283"/>
      <c r="Q69" s="283"/>
      <c r="R69" s="283"/>
      <c r="S69" s="283"/>
      <c r="T69" s="283"/>
      <c r="U69" s="283">
        <v>2400</v>
      </c>
      <c r="V69" s="283"/>
      <c r="W69" s="283"/>
      <c r="X69" s="42"/>
      <c r="Y69" s="42"/>
      <c r="Z69" s="46" t="s">
        <v>136</v>
      </c>
    </row>
    <row r="70" spans="1:26" s="38" customFormat="1" x14ac:dyDescent="0.35">
      <c r="A70" s="65"/>
      <c r="B70" s="65"/>
      <c r="C70" s="65"/>
      <c r="D70" s="65"/>
      <c r="E70" s="65" t="s">
        <v>119</v>
      </c>
      <c r="F70" s="66"/>
      <c r="G70" s="67"/>
      <c r="H70" s="301">
        <v>4000</v>
      </c>
      <c r="I70" s="301"/>
      <c r="J70" s="301">
        <v>4000</v>
      </c>
      <c r="K70" s="301"/>
      <c r="L70" s="302"/>
      <c r="M70" s="301">
        <v>3800</v>
      </c>
      <c r="N70" s="301"/>
      <c r="O70" s="371" t="e">
        <f>ROUND(IF(M70=0, IF(K70=0, 0, 1), M70/K70),5)</f>
        <v>#DIV/0!</v>
      </c>
      <c r="P70" s="301"/>
      <c r="Q70" s="301"/>
      <c r="R70" s="301"/>
      <c r="S70" s="301"/>
      <c r="T70" s="301"/>
      <c r="U70" s="301">
        <v>16800</v>
      </c>
      <c r="V70" s="301"/>
      <c r="W70" s="283">
        <v>0</v>
      </c>
      <c r="X70" s="43"/>
      <c r="Y70" s="43"/>
      <c r="Z70" s="38" t="s">
        <v>361</v>
      </c>
    </row>
    <row r="71" spans="1:26" ht="15" thickBot="1" x14ac:dyDescent="0.4">
      <c r="A71" s="54"/>
      <c r="B71" s="50"/>
      <c r="C71" s="50"/>
      <c r="D71" s="50"/>
      <c r="E71" s="50" t="s">
        <v>21</v>
      </c>
      <c r="F71" s="50"/>
      <c r="G71" s="62">
        <v>11812</v>
      </c>
      <c r="H71" s="294">
        <v>11750</v>
      </c>
      <c r="I71" s="294"/>
      <c r="J71" s="294">
        <v>11750</v>
      </c>
      <c r="K71" s="294">
        <v>11750</v>
      </c>
      <c r="L71" s="297"/>
      <c r="M71" s="294">
        <f>11500*0.9+288</f>
        <v>10638</v>
      </c>
      <c r="O71" s="368">
        <f>ROUND(IF(M71=0, IF(K71=0, 0, 1), M71/K71),5)</f>
        <v>0.90536000000000005</v>
      </c>
      <c r="Q71" s="95">
        <f>ROUND((M71-O71),5)</f>
        <v>10637.094639999999</v>
      </c>
      <c r="S71" s="95">
        <f>ROUND(IF(O71=0, IF(M71=0, 0, 1), M71/O71),5)</f>
        <v>11750.02209</v>
      </c>
      <c r="U71" s="294">
        <v>11500</v>
      </c>
      <c r="V71" s="287"/>
      <c r="W71" s="294">
        <v>11571</v>
      </c>
      <c r="X71" s="61"/>
      <c r="Y71" s="61"/>
    </row>
    <row r="72" spans="1:26" ht="15" thickBot="1" x14ac:dyDescent="0.4">
      <c r="A72" s="54"/>
      <c r="B72" s="50"/>
      <c r="C72" s="50"/>
      <c r="D72" s="50" t="s">
        <v>22</v>
      </c>
      <c r="E72" s="50"/>
      <c r="F72" s="50"/>
      <c r="G72" s="42">
        <f>ROUND(SUM(G68:G71),5)</f>
        <v>11812</v>
      </c>
      <c r="H72" s="283">
        <f>SUM(H69:H71)</f>
        <v>15750</v>
      </c>
      <c r="J72" s="283">
        <f>SUM(J69:J71)</f>
        <v>15750</v>
      </c>
      <c r="K72" s="283">
        <f>SUM(K69:K71)</f>
        <v>11750</v>
      </c>
      <c r="L72" s="94"/>
      <c r="M72" s="283">
        <f>ROUND(SUM(M68:M71),5)</f>
        <v>14438</v>
      </c>
      <c r="Q72" s="293">
        <f>ROUND((M72-O72),5)</f>
        <v>14438</v>
      </c>
      <c r="S72" s="293">
        <f>ROUND(IF(O72=0, IF(M72=0, 0, 1), M72/O72),5)</f>
        <v>1</v>
      </c>
      <c r="U72" s="283">
        <f>SUM(U69:U71)</f>
        <v>30700</v>
      </c>
      <c r="V72" s="283"/>
      <c r="W72" s="283">
        <f>ROUND(SUM(W68:W71),5)</f>
        <v>11571</v>
      </c>
      <c r="X72" s="70"/>
      <c r="Y72" s="393">
        <v>12750</v>
      </c>
    </row>
    <row r="73" spans="1:26" ht="30" customHeight="1" x14ac:dyDescent="0.35">
      <c r="A73" s="50"/>
      <c r="B73" s="50"/>
      <c r="C73" s="50"/>
      <c r="D73" s="50" t="s">
        <v>23</v>
      </c>
      <c r="E73" s="50"/>
      <c r="F73" s="50"/>
      <c r="G73" s="53"/>
      <c r="L73" s="277"/>
      <c r="Q73" s="293"/>
      <c r="S73" s="293"/>
      <c r="U73" s="283"/>
      <c r="V73" s="283"/>
      <c r="X73" s="42"/>
      <c r="Y73" s="42">
        <f>ROUND(SUM(Y69:Y72),5)</f>
        <v>12750</v>
      </c>
    </row>
    <row r="74" spans="1:26" x14ac:dyDescent="0.35">
      <c r="A74" s="50"/>
      <c r="B74" s="50"/>
      <c r="C74" s="50"/>
      <c r="D74" s="50"/>
      <c r="E74" s="50" t="s">
        <v>110</v>
      </c>
      <c r="F74" s="50"/>
      <c r="G74" s="53">
        <v>4757</v>
      </c>
      <c r="H74" s="283">
        <v>500</v>
      </c>
      <c r="J74" s="283">
        <v>2500</v>
      </c>
      <c r="K74" s="283">
        <v>3000</v>
      </c>
      <c r="L74" s="277"/>
      <c r="M74" s="283">
        <v>105</v>
      </c>
      <c r="O74" s="367">
        <f>ROUND(IF(M74=0, IF(K74=0, 0, 1), M74/K74),5)</f>
        <v>3.5000000000000003E-2</v>
      </c>
      <c r="Q74" s="293">
        <f>ROUND((M74-O74),5)</f>
        <v>104.965</v>
      </c>
      <c r="S74" s="94">
        <f>ROUND(IF(O74=0, IF(M74=0, 0, 1), M74/O74),5)</f>
        <v>3000</v>
      </c>
      <c r="U74" s="283">
        <v>2000</v>
      </c>
      <c r="V74" s="283"/>
      <c r="W74" s="283">
        <v>842</v>
      </c>
      <c r="X74" s="42"/>
      <c r="Y74" s="42"/>
      <c r="Z74" s="46" t="s">
        <v>141</v>
      </c>
    </row>
    <row r="75" spans="1:26" x14ac:dyDescent="0.35">
      <c r="A75" s="50"/>
      <c r="B75" s="50"/>
      <c r="C75" s="50"/>
      <c r="D75" s="50"/>
      <c r="E75" s="50" t="s">
        <v>111</v>
      </c>
      <c r="F75" s="50"/>
      <c r="G75" s="42">
        <v>3984</v>
      </c>
      <c r="H75" s="283">
        <v>100</v>
      </c>
      <c r="J75" s="283">
        <v>1500</v>
      </c>
      <c r="K75" s="283">
        <v>2000</v>
      </c>
      <c r="L75" s="94"/>
      <c r="M75" s="283">
        <v>396</v>
      </c>
      <c r="O75" s="367">
        <f>ROUND(IF(M75=0, IF(K75=0, 0, 1), M75/K75),5)</f>
        <v>0.19800000000000001</v>
      </c>
      <c r="Q75" s="293">
        <f>ROUND((M75-O75),5)</f>
        <v>395.80200000000002</v>
      </c>
      <c r="S75" s="94">
        <f>ROUND(IF(O75=0, IF(M75=0, 0, 1), M75/O75),5)</f>
        <v>2000</v>
      </c>
      <c r="U75" s="283">
        <v>1000</v>
      </c>
      <c r="V75" s="283"/>
      <c r="W75" s="283">
        <v>3100</v>
      </c>
      <c r="X75" s="42"/>
      <c r="Y75" s="42">
        <v>5000</v>
      </c>
      <c r="Z75" s="4" t="s">
        <v>137</v>
      </c>
    </row>
    <row r="76" spans="1:26" ht="15" thickBot="1" x14ac:dyDescent="0.4">
      <c r="A76" s="50"/>
      <c r="B76" s="50"/>
      <c r="C76" s="50"/>
      <c r="D76" s="50"/>
      <c r="E76" s="50" t="s">
        <v>112</v>
      </c>
      <c r="F76" s="50"/>
      <c r="G76" s="62">
        <v>0</v>
      </c>
      <c r="H76" s="294">
        <v>2400</v>
      </c>
      <c r="I76" s="294"/>
      <c r="J76" s="294">
        <v>4500</v>
      </c>
      <c r="K76" s="294">
        <v>5000</v>
      </c>
      <c r="L76" s="297"/>
      <c r="M76" s="287">
        <v>98</v>
      </c>
      <c r="O76" s="368">
        <f>ROUND(IF(M76=0, IF(K76=0, 0, 1), M76/K76),5)</f>
        <v>1.9599999999999999E-2</v>
      </c>
      <c r="Q76" s="95">
        <f>ROUND((M76-O76),5)</f>
        <v>97.980400000000003</v>
      </c>
      <c r="S76" s="95">
        <f>ROUND(IF(O76=0, IF(M76=0, 0, 1), M76/O76),5)</f>
        <v>5000</v>
      </c>
      <c r="U76" s="294">
        <v>4000</v>
      </c>
      <c r="V76" s="287"/>
      <c r="X76" s="42"/>
      <c r="Y76" s="42">
        <v>2000</v>
      </c>
      <c r="Z76" s="4" t="s">
        <v>137</v>
      </c>
    </row>
    <row r="77" spans="1:26" ht="15" thickBot="1" x14ac:dyDescent="0.4">
      <c r="A77" s="50"/>
      <c r="B77" s="50"/>
      <c r="C77" s="50"/>
      <c r="D77" s="50" t="s">
        <v>24</v>
      </c>
      <c r="E77" s="50"/>
      <c r="F77" s="50"/>
      <c r="G77" s="62">
        <f>SUM(G74:G76)</f>
        <v>8741</v>
      </c>
      <c r="H77" s="294">
        <f>SUM(H74:H76)</f>
        <v>3000</v>
      </c>
      <c r="I77" s="294"/>
      <c r="J77" s="294">
        <f>SUM(J74:J76)</f>
        <v>8500</v>
      </c>
      <c r="K77" s="294">
        <f>SUM(K74:K76)</f>
        <v>10000</v>
      </c>
      <c r="L77" s="297"/>
      <c r="M77" s="303">
        <f>ROUND(SUM(M73:M76),5)</f>
        <v>599</v>
      </c>
      <c r="O77" s="372"/>
      <c r="Q77" s="304">
        <f>ROUND((M77-O77),5)</f>
        <v>599</v>
      </c>
      <c r="S77" s="304">
        <f>ROUND(IF(O77=0, IF(M77=0, 0, 1), M77/O77),5)</f>
        <v>1</v>
      </c>
      <c r="U77" s="294">
        <f>SUM(U74:U76)</f>
        <v>7000</v>
      </c>
      <c r="V77" s="287"/>
      <c r="W77" s="305">
        <f>ROUND(SUM(W73:W76),5)</f>
        <v>3942</v>
      </c>
      <c r="X77" s="42"/>
      <c r="Y77" s="42">
        <v>0</v>
      </c>
    </row>
    <row r="78" spans="1:26" s="46" customFormat="1" ht="30" customHeight="1" thickBot="1" x14ac:dyDescent="0.4">
      <c r="A78" s="54"/>
      <c r="B78" s="54"/>
      <c r="C78" s="54" t="s">
        <v>28</v>
      </c>
      <c r="D78" s="54"/>
      <c r="E78" s="54"/>
      <c r="F78" s="54"/>
      <c r="G78" s="69" t="e">
        <f>SUM(G77,G72,G67,#REF!,G44,G28)</f>
        <v>#REF!</v>
      </c>
      <c r="H78" s="305">
        <f>ROUND(H28+H44+H56+H67+H72+H77,5)</f>
        <v>3468149.27</v>
      </c>
      <c r="I78" s="305"/>
      <c r="J78" s="305">
        <f>ROUND(J28+J44+J56+J67+J72+J77,5)</f>
        <v>3555207.72</v>
      </c>
      <c r="K78" s="305">
        <f>ROUND(K28+K44+K56+K67+K72+K77,5)</f>
        <v>3749299</v>
      </c>
      <c r="L78" s="305"/>
      <c r="M78" s="305">
        <f>ROUND(M28+M44+M56+M67+M72+M77,5)</f>
        <v>1319637.98</v>
      </c>
      <c r="N78" s="283"/>
      <c r="O78" s="373"/>
      <c r="P78" s="283"/>
      <c r="Q78" s="305">
        <f>ROUND((M78-O78),5)</f>
        <v>1319637.98</v>
      </c>
      <c r="R78" s="283"/>
      <c r="S78" s="305">
        <f>ROUND(IF(O78=0, IF(M78=0, 0, 1), M78/O78),5)</f>
        <v>1</v>
      </c>
      <c r="T78" s="283"/>
      <c r="U78" s="305">
        <f>ROUND(U28+U44+U56+U67+U72+U77,5)</f>
        <v>4122093</v>
      </c>
      <c r="V78" s="305"/>
      <c r="W78" s="305">
        <f>ROUND(W28+W44+W57+W67+W72+W77,5)</f>
        <v>389931</v>
      </c>
      <c r="X78" s="70"/>
      <c r="Y78" s="68">
        <f>ROUND(SUM(Y74:Y77),5)</f>
        <v>7000</v>
      </c>
    </row>
    <row r="79" spans="1:26" s="266" customFormat="1" ht="30" customHeight="1" thickBot="1" x14ac:dyDescent="0.4">
      <c r="A79" s="264"/>
      <c r="B79" s="264"/>
      <c r="C79" s="464" t="s">
        <v>339</v>
      </c>
      <c r="D79" s="464"/>
      <c r="E79" s="464"/>
      <c r="F79" s="464"/>
      <c r="G79" s="265"/>
      <c r="H79" s="306">
        <f>H78-H56</f>
        <v>750539.25</v>
      </c>
      <c r="I79" s="306"/>
      <c r="J79" s="306">
        <f>J78-J56</f>
        <v>837597.70000000019</v>
      </c>
      <c r="K79" s="306">
        <f>K78-K56</f>
        <v>881447</v>
      </c>
      <c r="L79" s="306"/>
      <c r="M79" s="306">
        <f>M78-M56</f>
        <v>456741</v>
      </c>
      <c r="N79" s="307"/>
      <c r="O79" s="374"/>
      <c r="P79" s="307"/>
      <c r="Q79" s="306"/>
      <c r="R79" s="307"/>
      <c r="S79" s="306"/>
      <c r="T79" s="307"/>
      <c r="U79" s="306">
        <f>U78-U56</f>
        <v>549843</v>
      </c>
      <c r="V79" s="306"/>
      <c r="W79" s="306"/>
      <c r="X79" s="44"/>
      <c r="Y79" s="395">
        <f>ROUND(Y28+Y44+Y57+Y68+Y73+Y78,5)</f>
        <v>434966</v>
      </c>
    </row>
    <row r="80" spans="1:26" s="266" customFormat="1" ht="30" hidden="1" customHeight="1" x14ac:dyDescent="0.35">
      <c r="A80" s="264"/>
      <c r="B80" s="264"/>
      <c r="C80" s="464" t="s">
        <v>121</v>
      </c>
      <c r="D80" s="464"/>
      <c r="E80" s="464"/>
      <c r="F80" s="464"/>
      <c r="G80" s="265"/>
      <c r="H80" s="306">
        <f>SUM(H34+H35)+20000+5000</f>
        <v>37000</v>
      </c>
      <c r="I80" s="306"/>
      <c r="J80" s="306">
        <f>SUM(J34+J35)+20000+5000</f>
        <v>49000</v>
      </c>
      <c r="K80" s="306">
        <f>SUM(K34+K35)+20000+5000</f>
        <v>55000</v>
      </c>
      <c r="L80" s="306"/>
      <c r="M80" s="306"/>
      <c r="N80" s="307"/>
      <c r="O80" s="374"/>
      <c r="P80" s="307"/>
      <c r="Q80" s="306"/>
      <c r="R80" s="307"/>
      <c r="S80" s="306"/>
      <c r="T80" s="307"/>
      <c r="U80" s="307"/>
      <c r="V80" s="307"/>
      <c r="W80" s="306"/>
      <c r="X80" s="44"/>
      <c r="Y80" s="44"/>
    </row>
    <row r="81" spans="1:26" s="266" customFormat="1" ht="30" customHeight="1" x14ac:dyDescent="0.35">
      <c r="A81" s="264"/>
      <c r="B81" s="264"/>
      <c r="C81" s="464" t="s">
        <v>291</v>
      </c>
      <c r="D81" s="464"/>
      <c r="E81" s="464"/>
      <c r="F81" s="464"/>
      <c r="G81" s="265"/>
      <c r="H81" s="300">
        <f>H26+H44+H67+H72+H77-H55</f>
        <v>195928.25</v>
      </c>
      <c r="I81" s="307"/>
      <c r="J81" s="307">
        <f>J26+J44+J67+J72+J77-J55</f>
        <v>282986.7</v>
      </c>
      <c r="K81" s="307">
        <f>K26+K44+K67+K72+K77-K37-K55</f>
        <v>338381</v>
      </c>
      <c r="L81" s="306"/>
      <c r="M81" s="307">
        <f>M26+M44+M67+M72+M77-M37-M55</f>
        <v>297328</v>
      </c>
      <c r="N81" s="307"/>
      <c r="O81" s="374"/>
      <c r="P81" s="307"/>
      <c r="Q81" s="306"/>
      <c r="R81" s="307"/>
      <c r="S81" s="306"/>
      <c r="T81" s="307"/>
      <c r="U81" s="307"/>
      <c r="V81" s="307"/>
      <c r="W81" s="306"/>
      <c r="X81" s="44"/>
      <c r="Y81" s="44"/>
    </row>
    <row r="82" spans="1:26" s="266" customFormat="1" ht="30" customHeight="1" x14ac:dyDescent="0.35">
      <c r="A82" s="267" t="s">
        <v>31</v>
      </c>
      <c r="B82" s="264"/>
      <c r="C82" s="264"/>
      <c r="D82" s="264"/>
      <c r="E82" s="264"/>
      <c r="F82" s="264"/>
      <c r="G82" s="265">
        <v>362756</v>
      </c>
      <c r="H82" s="307">
        <f>M87</f>
        <v>29507</v>
      </c>
      <c r="I82" s="307"/>
      <c r="J82" s="307">
        <f>M87</f>
        <v>29507</v>
      </c>
      <c r="K82" s="307">
        <f>M87</f>
        <v>29507</v>
      </c>
      <c r="L82" s="306"/>
      <c r="M82" s="307">
        <v>242606</v>
      </c>
      <c r="N82" s="307"/>
      <c r="O82" s="375"/>
      <c r="P82" s="307"/>
      <c r="Q82" s="307"/>
      <c r="R82" s="307"/>
      <c r="S82" s="307"/>
      <c r="T82" s="307"/>
      <c r="U82" s="307"/>
      <c r="V82" s="307"/>
      <c r="W82" s="307"/>
      <c r="X82" s="44"/>
      <c r="Y82" s="44"/>
    </row>
    <row r="83" spans="1:26" s="266" customFormat="1" ht="30" customHeight="1" x14ac:dyDescent="0.35">
      <c r="A83" s="267"/>
      <c r="B83" s="264" t="s">
        <v>29</v>
      </c>
      <c r="C83" s="264"/>
      <c r="D83" s="264"/>
      <c r="E83" s="264"/>
      <c r="F83" s="264"/>
      <c r="G83" s="268" t="e">
        <f>G20-G78</f>
        <v>#REF!</v>
      </c>
      <c r="H83" s="308">
        <f>H21-H81</f>
        <v>110301.75</v>
      </c>
      <c r="I83" s="308"/>
      <c r="J83" s="308">
        <f>J21-J81</f>
        <v>101536.29999999999</v>
      </c>
      <c r="K83" s="308">
        <f>K21-K81</f>
        <v>-16549</v>
      </c>
      <c r="L83" s="308"/>
      <c r="M83" s="308">
        <f>M21-M81</f>
        <v>9237</v>
      </c>
      <c r="N83" s="307"/>
      <c r="O83" s="376">
        <f>ROUND(O4+O20-O78,5)</f>
        <v>0</v>
      </c>
      <c r="P83" s="307"/>
      <c r="Q83" s="308">
        <f>ROUND(Q20-Q78,5)</f>
        <v>-47693.98</v>
      </c>
      <c r="R83" s="307"/>
      <c r="S83" s="308">
        <f>ROUND(IF(O83=0, IF(M83=0, 0, 1), M83/O83),5)</f>
        <v>1</v>
      </c>
      <c r="T83" s="307"/>
      <c r="U83" s="307"/>
      <c r="V83" s="307"/>
      <c r="W83" s="308">
        <f>ROUND(W4+W21-W78,5)</f>
        <v>-37727</v>
      </c>
      <c r="X83" s="42"/>
      <c r="Y83" s="42"/>
    </row>
    <row r="84" spans="1:26" s="327" customFormat="1" ht="30" customHeight="1" x14ac:dyDescent="0.35">
      <c r="A84" s="324"/>
      <c r="B84" s="462" t="s">
        <v>52</v>
      </c>
      <c r="C84" s="462"/>
      <c r="D84" s="462"/>
      <c r="E84" s="462"/>
      <c r="F84" s="462"/>
      <c r="G84" s="325"/>
      <c r="H84" s="288">
        <v>2662</v>
      </c>
      <c r="I84" s="288"/>
      <c r="J84" s="288">
        <f>'OCDAP Worksheet'!B11</f>
        <v>2662</v>
      </c>
      <c r="K84" s="288">
        <v>22662</v>
      </c>
      <c r="L84" s="326"/>
      <c r="M84" s="288">
        <v>73672</v>
      </c>
      <c r="N84" s="288"/>
      <c r="O84" s="377"/>
      <c r="P84" s="288"/>
      <c r="Q84" s="288">
        <v>73672</v>
      </c>
      <c r="R84" s="288"/>
      <c r="S84" s="288">
        <v>73672</v>
      </c>
      <c r="T84" s="288"/>
      <c r="U84" s="288">
        <v>73672</v>
      </c>
      <c r="V84" s="288"/>
      <c r="W84" s="288">
        <f>W11+W37-W24</f>
        <v>0</v>
      </c>
      <c r="X84" s="70"/>
      <c r="Y84" s="71">
        <f>ROUND(Y4+Y20-Y79,5)</f>
        <v>-18624</v>
      </c>
      <c r="Z84" s="327" t="s">
        <v>340</v>
      </c>
    </row>
    <row r="85" spans="1:26" s="269" customFormat="1" ht="30" customHeight="1" thickBot="1" x14ac:dyDescent="0.4">
      <c r="A85" s="264" t="s">
        <v>30</v>
      </c>
      <c r="C85" s="264"/>
      <c r="D85" s="264"/>
      <c r="E85" s="264"/>
      <c r="F85" s="264"/>
      <c r="G85" s="270" t="e">
        <f>G82+G83</f>
        <v>#REF!</v>
      </c>
      <c r="H85" s="309">
        <f>H82+H83-H84</f>
        <v>137146.75</v>
      </c>
      <c r="I85" s="309"/>
      <c r="J85" s="309">
        <f>J82+J83-J84</f>
        <v>128381.29999999999</v>
      </c>
      <c r="K85" s="309">
        <f>K82+K83-K84</f>
        <v>-9704</v>
      </c>
      <c r="L85" s="310"/>
      <c r="M85" s="309">
        <f>M82+M83-M84</f>
        <v>178171</v>
      </c>
      <c r="N85" s="311"/>
      <c r="O85" s="378"/>
      <c r="P85" s="311"/>
      <c r="Q85" s="309">
        <f>ROUND((M85-O85),5)</f>
        <v>178171</v>
      </c>
      <c r="R85" s="312"/>
      <c r="S85" s="307"/>
      <c r="T85" s="311"/>
      <c r="U85" s="313"/>
      <c r="V85" s="313"/>
      <c r="W85" s="399"/>
      <c r="X85" s="43"/>
      <c r="Y85" s="72">
        <v>0</v>
      </c>
      <c r="Z85" s="271"/>
    </row>
    <row r="86" spans="1:26" s="266" customFormat="1" ht="30" customHeight="1" thickTop="1" x14ac:dyDescent="0.35">
      <c r="A86" s="264"/>
      <c r="B86" s="461" t="s">
        <v>125</v>
      </c>
      <c r="C86" s="461"/>
      <c r="D86" s="461"/>
      <c r="E86" s="461"/>
      <c r="F86" s="461"/>
      <c r="G86" s="265"/>
      <c r="H86" s="300">
        <f>H81/2</f>
        <v>97964.125</v>
      </c>
      <c r="I86" s="307"/>
      <c r="J86" s="307">
        <f>J81/4</f>
        <v>70746.675000000003</v>
      </c>
      <c r="K86" s="307">
        <f>K81/2</f>
        <v>169190.5</v>
      </c>
      <c r="L86" s="306"/>
      <c r="M86" s="307">
        <f>M81/2</f>
        <v>148664</v>
      </c>
      <c r="N86" s="307"/>
      <c r="O86" s="307"/>
      <c r="P86" s="307"/>
      <c r="Q86" s="307"/>
      <c r="R86" s="307"/>
      <c r="S86" s="307"/>
      <c r="T86" s="307"/>
      <c r="U86" s="307"/>
      <c r="V86" s="307"/>
      <c r="W86" s="307">
        <f>(W26+W44+W67+W72+W77)/2</f>
        <v>144809.5</v>
      </c>
      <c r="X86" s="396"/>
      <c r="Y86" s="63"/>
      <c r="Z86" s="266" t="s">
        <v>363</v>
      </c>
    </row>
    <row r="87" spans="1:26" s="266" customFormat="1" x14ac:dyDescent="0.35">
      <c r="A87" s="267"/>
      <c r="B87" s="460" t="s">
        <v>126</v>
      </c>
      <c r="C87" s="461"/>
      <c r="D87" s="461"/>
      <c r="E87" s="461"/>
      <c r="F87" s="461"/>
      <c r="G87" s="272"/>
      <c r="H87" s="314">
        <f>H85-H86</f>
        <v>39182.625</v>
      </c>
      <c r="I87" s="314"/>
      <c r="J87" s="314">
        <f>J85-J86</f>
        <v>57634.624999999985</v>
      </c>
      <c r="K87" s="314">
        <f>K85-K86</f>
        <v>-178894.5</v>
      </c>
      <c r="L87" s="314"/>
      <c r="M87" s="314">
        <f>M85-M86</f>
        <v>29507</v>
      </c>
      <c r="N87" s="307"/>
      <c r="O87" s="379"/>
      <c r="P87" s="307"/>
      <c r="Q87" s="307"/>
      <c r="R87" s="307"/>
      <c r="S87" s="307"/>
      <c r="T87" s="307"/>
      <c r="U87" s="307"/>
      <c r="V87" s="307"/>
      <c r="W87" s="314"/>
      <c r="X87" s="43"/>
      <c r="Y87" s="74">
        <f>(Y26+Y44+Y68+Y73+Y78)/2</f>
        <v>169983</v>
      </c>
    </row>
    <row r="88" spans="1:26" s="266" customFormat="1" ht="16.5" x14ac:dyDescent="0.35">
      <c r="A88" s="267"/>
      <c r="B88" s="273"/>
      <c r="C88" s="274"/>
      <c r="D88" s="274"/>
      <c r="E88" s="274"/>
      <c r="F88" s="275"/>
      <c r="G88" s="272"/>
      <c r="H88" s="314"/>
      <c r="I88" s="314"/>
      <c r="J88" s="314"/>
      <c r="K88" s="314"/>
      <c r="L88" s="314"/>
      <c r="M88" s="315"/>
      <c r="N88" s="307"/>
      <c r="O88" s="379"/>
      <c r="P88" s="307"/>
      <c r="Q88" s="307"/>
      <c r="R88" s="307"/>
      <c r="S88" s="307"/>
      <c r="T88" s="307"/>
      <c r="U88" s="307"/>
      <c r="V88" s="307"/>
      <c r="W88" s="307"/>
      <c r="X88" s="42"/>
      <c r="Y88" s="55"/>
    </row>
    <row r="89" spans="1:26" s="266" customFormat="1" ht="16.5" x14ac:dyDescent="0.35">
      <c r="A89" s="267"/>
      <c r="B89" s="273"/>
      <c r="C89" s="267"/>
      <c r="D89" s="267"/>
      <c r="E89" s="267"/>
      <c r="F89" s="267"/>
      <c r="G89" s="272"/>
      <c r="H89" s="314"/>
      <c r="I89" s="314"/>
      <c r="J89" s="314"/>
      <c r="K89" s="314"/>
      <c r="L89" s="314"/>
      <c r="M89" s="307"/>
      <c r="N89" s="307"/>
      <c r="O89" s="379"/>
      <c r="P89" s="307"/>
      <c r="Q89" s="307"/>
      <c r="R89" s="307"/>
      <c r="S89" s="307"/>
      <c r="T89" s="307"/>
      <c r="U89" s="307"/>
      <c r="V89" s="307"/>
      <c r="W89" s="307"/>
      <c r="X89" s="42"/>
      <c r="Y89" s="42"/>
    </row>
    <row r="90" spans="1:26" ht="16.5" x14ac:dyDescent="0.35">
      <c r="A90" s="3"/>
      <c r="B90" s="76"/>
      <c r="C90" s="77"/>
      <c r="D90" s="78"/>
      <c r="E90" s="78"/>
      <c r="F90" s="42"/>
      <c r="G90" s="79"/>
      <c r="H90" s="316"/>
      <c r="I90" s="316"/>
      <c r="J90" s="316"/>
      <c r="K90" s="316"/>
      <c r="L90" s="317"/>
      <c r="N90" s="318"/>
      <c r="O90" s="380"/>
      <c r="P90" s="318"/>
      <c r="Q90" s="318"/>
      <c r="R90" s="318"/>
      <c r="S90" s="318"/>
      <c r="T90" s="318"/>
      <c r="X90" s="42"/>
      <c r="Y90" s="42"/>
    </row>
    <row r="91" spans="1:26" ht="16.5" x14ac:dyDescent="0.35">
      <c r="A91" s="3"/>
      <c r="B91" s="76"/>
      <c r="C91" s="77"/>
      <c r="D91" s="78"/>
      <c r="E91" s="78"/>
      <c r="F91" s="42"/>
      <c r="G91" s="79"/>
      <c r="H91" s="316"/>
      <c r="I91" s="316"/>
      <c r="J91" s="316"/>
      <c r="K91" s="316"/>
      <c r="L91" s="317"/>
      <c r="N91" s="318"/>
      <c r="O91" s="380"/>
      <c r="P91" s="318"/>
      <c r="Q91" s="318"/>
      <c r="R91" s="318"/>
      <c r="S91" s="318"/>
      <c r="T91" s="318"/>
      <c r="X91" s="80"/>
      <c r="Y91" s="80"/>
    </row>
    <row r="92" spans="1:26" x14ac:dyDescent="0.35">
      <c r="A92" s="3"/>
      <c r="B92" s="77"/>
      <c r="C92" s="77"/>
      <c r="D92" s="77"/>
      <c r="E92" s="77"/>
      <c r="F92" s="42"/>
      <c r="G92" s="81"/>
      <c r="H92" s="319"/>
      <c r="I92" s="319"/>
      <c r="J92" s="319"/>
      <c r="K92" s="319"/>
      <c r="L92" s="317"/>
      <c r="N92" s="318"/>
      <c r="O92" s="381"/>
      <c r="P92" s="318"/>
      <c r="Q92" s="318"/>
      <c r="R92" s="318"/>
      <c r="S92" s="318"/>
      <c r="T92" s="318"/>
      <c r="X92" s="80"/>
      <c r="Y92" s="80"/>
    </row>
    <row r="93" spans="1:26" x14ac:dyDescent="0.35">
      <c r="A93" s="3"/>
      <c r="B93" s="77"/>
      <c r="C93" s="77"/>
      <c r="D93" s="77"/>
      <c r="E93" s="77"/>
      <c r="F93" s="4"/>
      <c r="G93" s="81"/>
      <c r="H93" s="319"/>
      <c r="I93" s="319"/>
      <c r="J93" s="319"/>
      <c r="K93" s="319"/>
      <c r="L93" s="317"/>
      <c r="N93" s="318"/>
      <c r="O93" s="381"/>
      <c r="P93" s="318"/>
      <c r="Q93" s="318"/>
      <c r="R93" s="318"/>
      <c r="S93" s="318"/>
      <c r="T93" s="318"/>
      <c r="X93" s="2"/>
      <c r="Y93" s="2"/>
    </row>
    <row r="94" spans="1:26" x14ac:dyDescent="0.35">
      <c r="A94" s="3"/>
      <c r="B94" s="77"/>
      <c r="C94" s="77"/>
      <c r="D94" s="77"/>
      <c r="E94" s="77"/>
      <c r="F94" s="4"/>
      <c r="G94" s="81"/>
      <c r="H94" s="319"/>
      <c r="I94" s="319"/>
      <c r="J94" s="319"/>
      <c r="K94" s="319"/>
      <c r="L94" s="317"/>
      <c r="N94" s="318"/>
      <c r="O94" s="381"/>
      <c r="P94" s="318"/>
      <c r="Q94" s="318"/>
      <c r="R94" s="318"/>
      <c r="S94" s="318"/>
      <c r="T94" s="318"/>
      <c r="X94" s="2"/>
      <c r="Y94" s="2"/>
    </row>
    <row r="95" spans="1:26" x14ac:dyDescent="0.35">
      <c r="A95" s="3"/>
      <c r="B95" s="77"/>
      <c r="C95" s="77"/>
      <c r="D95" s="77"/>
      <c r="E95" s="77"/>
      <c r="F95" s="4"/>
      <c r="G95" s="81"/>
      <c r="H95" s="319"/>
      <c r="I95" s="319"/>
      <c r="J95" s="319"/>
      <c r="K95" s="319"/>
      <c r="L95" s="317"/>
      <c r="N95" s="318"/>
      <c r="O95" s="381"/>
      <c r="P95" s="318"/>
      <c r="Q95" s="318"/>
      <c r="R95" s="318"/>
      <c r="S95" s="318"/>
      <c r="T95" s="318"/>
      <c r="X95" s="2"/>
      <c r="Y95" s="2"/>
    </row>
    <row r="96" spans="1:26" x14ac:dyDescent="0.35">
      <c r="A96" s="3"/>
      <c r="B96" s="77"/>
      <c r="C96" s="77"/>
      <c r="D96" s="77"/>
      <c r="E96" s="77"/>
      <c r="F96" s="4"/>
      <c r="G96" s="81"/>
      <c r="H96" s="319"/>
      <c r="I96" s="319"/>
      <c r="J96" s="319"/>
      <c r="K96" s="319"/>
      <c r="L96" s="317"/>
      <c r="N96" s="318"/>
      <c r="O96" s="381"/>
      <c r="P96" s="318"/>
      <c r="Q96" s="318"/>
      <c r="R96" s="318"/>
      <c r="S96" s="318"/>
      <c r="T96" s="318"/>
      <c r="X96" s="2"/>
      <c r="Y96" s="2"/>
    </row>
    <row r="97" spans="1:26" x14ac:dyDescent="0.35">
      <c r="A97" s="3"/>
      <c r="B97" s="77"/>
      <c r="C97" s="77"/>
      <c r="D97" s="77"/>
      <c r="E97" s="77"/>
      <c r="F97" s="46"/>
      <c r="G97" s="81"/>
      <c r="H97" s="319"/>
      <c r="I97" s="319"/>
      <c r="J97" s="319"/>
      <c r="K97" s="319"/>
      <c r="L97" s="317"/>
      <c r="N97" s="318"/>
      <c r="O97" s="381"/>
      <c r="P97" s="318"/>
      <c r="Q97" s="318"/>
      <c r="R97" s="318"/>
      <c r="S97" s="318"/>
      <c r="T97" s="318"/>
      <c r="X97" s="2"/>
      <c r="Y97" s="2"/>
    </row>
    <row r="98" spans="1:26" s="85" customFormat="1" x14ac:dyDescent="0.35">
      <c r="A98" s="3"/>
      <c r="B98" s="77"/>
      <c r="C98" s="82"/>
      <c r="D98" s="82"/>
      <c r="E98" s="82"/>
      <c r="F98" s="4"/>
      <c r="G98" s="83"/>
      <c r="H98" s="319"/>
      <c r="I98" s="319"/>
      <c r="J98" s="319"/>
      <c r="K98" s="319"/>
      <c r="L98" s="320"/>
      <c r="M98" s="321"/>
      <c r="N98" s="322"/>
      <c r="O98" s="382"/>
      <c r="P98" s="318"/>
      <c r="Q98" s="318"/>
      <c r="R98" s="318"/>
      <c r="S98" s="318"/>
      <c r="T98" s="318"/>
      <c r="U98" s="94"/>
      <c r="V98" s="94"/>
      <c r="W98" s="398"/>
      <c r="X98" s="2"/>
      <c r="Y98" s="2"/>
      <c r="Z98" s="4"/>
    </row>
    <row r="99" spans="1:26" s="85" customFormat="1" x14ac:dyDescent="0.35">
      <c r="A99" s="3"/>
      <c r="B99" s="77"/>
      <c r="C99" s="77"/>
      <c r="D99" s="77"/>
      <c r="E99" s="77"/>
      <c r="F99" s="4"/>
      <c r="G99" s="81"/>
      <c r="H99" s="319"/>
      <c r="I99" s="319"/>
      <c r="J99" s="319"/>
      <c r="K99" s="319"/>
      <c r="L99" s="317"/>
      <c r="M99" s="283"/>
      <c r="N99" s="318"/>
      <c r="O99" s="381"/>
      <c r="P99" s="318"/>
      <c r="Q99" s="318"/>
      <c r="R99" s="318"/>
      <c r="S99" s="318"/>
      <c r="T99" s="318"/>
      <c r="U99" s="94"/>
      <c r="V99" s="94"/>
      <c r="W99" s="398"/>
      <c r="X99" s="84"/>
      <c r="Y99" s="84"/>
      <c r="Z99" s="4"/>
    </row>
    <row r="100" spans="1:26" s="85" customFormat="1" x14ac:dyDescent="0.35">
      <c r="A100" s="3"/>
      <c r="B100" s="77"/>
      <c r="C100" s="77"/>
      <c r="D100" s="77"/>
      <c r="E100" s="77"/>
      <c r="F100" s="4"/>
      <c r="G100" s="81"/>
      <c r="H100" s="319"/>
      <c r="I100" s="319"/>
      <c r="J100" s="319"/>
      <c r="K100" s="319"/>
      <c r="L100" s="317"/>
      <c r="M100" s="283"/>
      <c r="N100" s="318"/>
      <c r="O100" s="381"/>
      <c r="P100" s="318"/>
      <c r="Q100" s="318"/>
      <c r="R100" s="318"/>
      <c r="S100" s="318"/>
      <c r="T100" s="318"/>
      <c r="U100" s="94"/>
      <c r="V100" s="94"/>
      <c r="W100" s="398"/>
      <c r="X100" s="2"/>
      <c r="Y100" s="2"/>
      <c r="Z100" s="4"/>
    </row>
    <row r="101" spans="1:26" s="85" customFormat="1" x14ac:dyDescent="0.35">
      <c r="A101" s="3"/>
      <c r="B101" s="77"/>
      <c r="C101" s="77"/>
      <c r="D101" s="77"/>
      <c r="E101" s="77"/>
      <c r="F101" s="4"/>
      <c r="G101" s="81"/>
      <c r="H101" s="319"/>
      <c r="I101" s="319"/>
      <c r="J101" s="319"/>
      <c r="K101" s="319"/>
      <c r="L101" s="317"/>
      <c r="M101" s="283"/>
      <c r="N101" s="318"/>
      <c r="O101" s="381"/>
      <c r="P101" s="318"/>
      <c r="Q101" s="318"/>
      <c r="R101" s="318"/>
      <c r="S101" s="318"/>
      <c r="T101" s="318"/>
      <c r="U101" s="94"/>
      <c r="V101" s="94"/>
      <c r="W101" s="398"/>
      <c r="X101" s="2"/>
      <c r="Y101" s="2"/>
      <c r="Z101" s="4"/>
    </row>
    <row r="102" spans="1:26" s="85" customFormat="1" x14ac:dyDescent="0.35">
      <c r="A102" s="3"/>
      <c r="B102" s="77"/>
      <c r="C102" s="77"/>
      <c r="D102" s="77"/>
      <c r="E102" s="77"/>
      <c r="F102" s="4"/>
      <c r="G102" s="81"/>
      <c r="H102" s="319"/>
      <c r="I102" s="319"/>
      <c r="J102" s="319"/>
      <c r="K102" s="319"/>
      <c r="L102" s="317"/>
      <c r="M102" s="283"/>
      <c r="N102" s="318"/>
      <c r="O102" s="381"/>
      <c r="P102" s="318"/>
      <c r="Q102" s="318"/>
      <c r="R102" s="318"/>
      <c r="S102" s="318"/>
      <c r="T102" s="318"/>
      <c r="U102" s="94"/>
      <c r="V102" s="94"/>
      <c r="W102" s="398"/>
      <c r="X102" s="2"/>
      <c r="Y102" s="2"/>
      <c r="Z102" s="4"/>
    </row>
    <row r="103" spans="1:26" s="85" customFormat="1" x14ac:dyDescent="0.35">
      <c r="A103" s="3"/>
      <c r="B103" s="77"/>
      <c r="C103" s="77"/>
      <c r="D103" s="77"/>
      <c r="E103" s="77"/>
      <c r="F103" s="4"/>
      <c r="G103" s="81"/>
      <c r="H103" s="319"/>
      <c r="I103" s="319"/>
      <c r="J103" s="319"/>
      <c r="K103" s="319"/>
      <c r="L103" s="317"/>
      <c r="M103" s="283"/>
      <c r="N103" s="318"/>
      <c r="O103" s="381"/>
      <c r="P103" s="318"/>
      <c r="Q103" s="318"/>
      <c r="R103" s="318"/>
      <c r="S103" s="318"/>
      <c r="T103" s="318"/>
      <c r="U103" s="94"/>
      <c r="V103" s="94"/>
      <c r="W103" s="398"/>
      <c r="X103" s="2"/>
      <c r="Y103" s="2"/>
      <c r="Z103" s="4"/>
    </row>
    <row r="104" spans="1:26" s="85" customFormat="1" x14ac:dyDescent="0.35">
      <c r="A104" s="3"/>
      <c r="B104" s="3"/>
      <c r="C104" s="3"/>
      <c r="D104" s="3"/>
      <c r="E104" s="3"/>
      <c r="F104" s="4"/>
      <c r="G104" s="48"/>
      <c r="H104" s="283"/>
      <c r="I104" s="283"/>
      <c r="J104" s="283"/>
      <c r="K104" s="283"/>
      <c r="L104" s="277"/>
      <c r="M104" s="283"/>
      <c r="N104" s="94"/>
      <c r="O104" s="354"/>
      <c r="P104" s="94"/>
      <c r="Q104" s="94"/>
      <c r="R104" s="94"/>
      <c r="S104" s="94"/>
      <c r="T104" s="94"/>
      <c r="U104" s="94"/>
      <c r="V104" s="94"/>
      <c r="W104" s="398"/>
      <c r="X104" s="2"/>
      <c r="Y104" s="2"/>
      <c r="Z104" s="4"/>
    </row>
    <row r="105" spans="1:26" x14ac:dyDescent="0.35">
      <c r="A105" s="3"/>
      <c r="B105" s="86"/>
      <c r="C105" s="77"/>
      <c r="D105" s="77"/>
      <c r="E105" s="77"/>
      <c r="F105" s="2"/>
      <c r="G105" s="48"/>
      <c r="L105" s="277"/>
    </row>
    <row r="106" spans="1:26" x14ac:dyDescent="0.35">
      <c r="A106" s="3"/>
      <c r="B106" s="86"/>
      <c r="C106" s="77"/>
      <c r="D106" s="77"/>
      <c r="E106" s="77"/>
      <c r="F106" s="2"/>
      <c r="G106" s="48"/>
      <c r="L106" s="277"/>
    </row>
    <row r="107" spans="1:26" x14ac:dyDescent="0.35">
      <c r="A107" s="3"/>
      <c r="B107" s="86"/>
      <c r="C107" s="77"/>
      <c r="D107" s="77"/>
      <c r="E107" s="77"/>
      <c r="F107" s="2"/>
      <c r="G107" s="48"/>
      <c r="L107" s="277"/>
    </row>
    <row r="108" spans="1:26" x14ac:dyDescent="0.35">
      <c r="A108" s="3"/>
      <c r="B108" s="86"/>
      <c r="C108" s="77"/>
      <c r="D108" s="77"/>
      <c r="E108" s="77"/>
      <c r="F108" s="77"/>
      <c r="G108" s="48"/>
      <c r="L108" s="277"/>
    </row>
    <row r="109" spans="1:26" x14ac:dyDescent="0.35">
      <c r="A109" s="3"/>
      <c r="B109" s="86"/>
      <c r="C109" s="77"/>
      <c r="D109" s="77"/>
      <c r="E109" s="77"/>
      <c r="F109" s="77"/>
      <c r="G109" s="48"/>
      <c r="L109" s="277"/>
    </row>
    <row r="110" spans="1:26" x14ac:dyDescent="0.35">
      <c r="A110" s="3"/>
      <c r="B110" s="86"/>
      <c r="C110" s="77"/>
      <c r="D110" s="77"/>
      <c r="E110" s="77"/>
      <c r="F110" s="77"/>
      <c r="G110" s="48"/>
      <c r="L110" s="277"/>
    </row>
    <row r="111" spans="1:26" x14ac:dyDescent="0.35">
      <c r="A111" s="3"/>
      <c r="B111" s="86"/>
      <c r="C111" s="77"/>
      <c r="D111" s="77"/>
      <c r="E111" s="77"/>
      <c r="F111" s="77"/>
      <c r="G111" s="48"/>
      <c r="L111" s="277"/>
    </row>
    <row r="112" spans="1:26" x14ac:dyDescent="0.35">
      <c r="A112" s="3"/>
      <c r="B112" s="86"/>
      <c r="C112" s="77"/>
      <c r="D112" s="77"/>
      <c r="E112" s="77"/>
      <c r="F112" s="77"/>
      <c r="G112" s="48"/>
      <c r="L112" s="277"/>
    </row>
    <row r="113" spans="1:26" x14ac:dyDescent="0.35">
      <c r="A113" s="3"/>
      <c r="B113" s="86"/>
      <c r="C113" s="77"/>
      <c r="D113" s="77"/>
      <c r="E113" s="77"/>
      <c r="F113" s="77"/>
      <c r="G113" s="48"/>
      <c r="L113" s="277"/>
    </row>
    <row r="114" spans="1:26" x14ac:dyDescent="0.35">
      <c r="A114" s="3"/>
      <c r="B114" s="86"/>
      <c r="C114" s="77"/>
      <c r="D114" s="77"/>
      <c r="E114" s="77"/>
      <c r="F114" s="77"/>
      <c r="G114" s="48"/>
      <c r="L114" s="277"/>
    </row>
    <row r="115" spans="1:26" x14ac:dyDescent="0.35">
      <c r="A115" s="3"/>
      <c r="B115" s="86"/>
      <c r="C115" s="77"/>
      <c r="D115" s="77"/>
      <c r="E115" s="77"/>
      <c r="F115" s="77"/>
      <c r="G115" s="48"/>
      <c r="L115" s="277"/>
    </row>
    <row r="116" spans="1:26" x14ac:dyDescent="0.35">
      <c r="A116" s="3"/>
      <c r="B116" s="86"/>
      <c r="C116" s="77"/>
      <c r="D116" s="77"/>
      <c r="E116" s="77"/>
      <c r="F116" s="77"/>
      <c r="G116" s="48"/>
      <c r="L116" s="277"/>
    </row>
    <row r="117" spans="1:26" x14ac:dyDescent="0.35">
      <c r="A117" s="3"/>
      <c r="B117" s="86"/>
      <c r="C117" s="77"/>
      <c r="D117" s="77"/>
      <c r="E117" s="77"/>
      <c r="F117" s="77"/>
      <c r="G117" s="48"/>
      <c r="L117" s="277"/>
    </row>
    <row r="118" spans="1:26" x14ac:dyDescent="0.35">
      <c r="A118" s="3"/>
      <c r="B118" s="77"/>
      <c r="C118" s="87"/>
      <c r="D118" s="77"/>
      <c r="E118" s="77"/>
      <c r="F118" s="77"/>
      <c r="G118" s="48"/>
      <c r="L118" s="277"/>
    </row>
    <row r="119" spans="1:26" x14ac:dyDescent="0.35">
      <c r="A119" s="3"/>
      <c r="B119" s="86"/>
      <c r="C119" s="87"/>
      <c r="D119" s="77"/>
      <c r="E119" s="77"/>
      <c r="F119" s="77"/>
    </row>
    <row r="120" spans="1:26" x14ac:dyDescent="0.35">
      <c r="A120" s="3"/>
      <c r="B120" s="86"/>
      <c r="C120" s="77"/>
      <c r="D120" s="77"/>
      <c r="E120" s="77"/>
      <c r="F120" s="77"/>
      <c r="G120" s="48"/>
      <c r="L120" s="277"/>
    </row>
    <row r="121" spans="1:26" x14ac:dyDescent="0.35">
      <c r="A121" s="3"/>
      <c r="B121" s="3"/>
      <c r="C121" s="3"/>
      <c r="D121" s="3"/>
      <c r="E121" s="3"/>
      <c r="F121" s="3"/>
      <c r="G121" s="48"/>
      <c r="L121" s="277"/>
    </row>
    <row r="122" spans="1:26" x14ac:dyDescent="0.35">
      <c r="A122" s="3"/>
      <c r="B122" s="3"/>
      <c r="C122" s="3"/>
      <c r="D122" s="3"/>
      <c r="E122" s="3"/>
      <c r="F122" s="3"/>
      <c r="G122" s="48"/>
      <c r="L122" s="277"/>
    </row>
    <row r="123" spans="1:26" x14ac:dyDescent="0.35">
      <c r="A123" s="3"/>
      <c r="B123" s="3"/>
      <c r="C123" s="3"/>
      <c r="D123" s="3"/>
      <c r="E123" s="3"/>
      <c r="F123" s="3"/>
      <c r="G123" s="48"/>
      <c r="L123" s="277"/>
    </row>
    <row r="124" spans="1:26" x14ac:dyDescent="0.35">
      <c r="A124" s="3"/>
      <c r="B124" s="3"/>
      <c r="C124" s="3"/>
      <c r="D124" s="3"/>
      <c r="E124" s="3"/>
      <c r="F124" s="3"/>
      <c r="G124" s="48"/>
      <c r="L124" s="277"/>
    </row>
    <row r="125" spans="1:26" x14ac:dyDescent="0.35">
      <c r="A125" s="3"/>
      <c r="B125" s="3"/>
      <c r="C125" s="3"/>
      <c r="D125" s="3"/>
      <c r="E125" s="3"/>
      <c r="F125" s="3"/>
      <c r="G125" s="48"/>
      <c r="L125" s="277"/>
    </row>
    <row r="126" spans="1:26" x14ac:dyDescent="0.35">
      <c r="A126" s="3"/>
      <c r="B126" s="3"/>
      <c r="C126" s="3"/>
      <c r="D126" s="3"/>
      <c r="E126" s="3"/>
      <c r="F126" s="3"/>
      <c r="G126" s="48"/>
      <c r="L126" s="277"/>
    </row>
    <row r="127" spans="1:26" x14ac:dyDescent="0.35">
      <c r="A127" s="3"/>
      <c r="B127" s="3"/>
      <c r="C127" s="3"/>
      <c r="D127" s="3"/>
      <c r="E127" s="3"/>
      <c r="F127" s="3"/>
      <c r="G127" s="48"/>
      <c r="L127" s="277"/>
    </row>
    <row r="128" spans="1:26" s="47" customFormat="1" x14ac:dyDescent="0.35">
      <c r="A128" s="3"/>
      <c r="B128" s="3"/>
      <c r="C128" s="3"/>
      <c r="D128" s="3"/>
      <c r="E128" s="3"/>
      <c r="F128" s="3"/>
      <c r="G128" s="48"/>
      <c r="H128" s="283"/>
      <c r="I128" s="283"/>
      <c r="J128" s="283"/>
      <c r="K128" s="283"/>
      <c r="L128" s="277"/>
      <c r="M128" s="283"/>
      <c r="N128" s="94"/>
      <c r="O128" s="354"/>
      <c r="P128" s="94"/>
      <c r="Q128" s="94"/>
      <c r="R128" s="94"/>
      <c r="S128" s="94"/>
      <c r="T128" s="94"/>
      <c r="U128" s="94"/>
      <c r="V128" s="94"/>
      <c r="W128" s="283"/>
      <c r="X128" s="4"/>
      <c r="Y128" s="4"/>
      <c r="Z128" s="4"/>
    </row>
    <row r="129" spans="1:26" s="47" customFormat="1" x14ac:dyDescent="0.35">
      <c r="A129" s="3"/>
      <c r="B129" s="3"/>
      <c r="C129" s="3"/>
      <c r="D129" s="3"/>
      <c r="E129" s="3"/>
      <c r="F129" s="3"/>
      <c r="G129" s="48"/>
      <c r="H129" s="283"/>
      <c r="I129" s="283"/>
      <c r="J129" s="283"/>
      <c r="K129" s="283"/>
      <c r="L129" s="277"/>
      <c r="M129" s="283"/>
      <c r="N129" s="94"/>
      <c r="O129" s="354"/>
      <c r="P129" s="94"/>
      <c r="Q129" s="94"/>
      <c r="R129" s="94"/>
      <c r="S129" s="94"/>
      <c r="T129" s="94"/>
      <c r="U129" s="94"/>
      <c r="V129" s="94"/>
      <c r="W129" s="283"/>
      <c r="X129" s="4"/>
      <c r="Y129" s="4"/>
      <c r="Z129" s="4"/>
    </row>
    <row r="130" spans="1:26" s="47" customFormat="1" x14ac:dyDescent="0.35">
      <c r="A130" s="3"/>
      <c r="B130" s="3"/>
      <c r="C130" s="3"/>
      <c r="D130" s="3"/>
      <c r="E130" s="3"/>
      <c r="F130" s="3"/>
      <c r="G130" s="48"/>
      <c r="H130" s="283"/>
      <c r="I130" s="283"/>
      <c r="J130" s="283"/>
      <c r="K130" s="283"/>
      <c r="L130" s="277"/>
      <c r="M130" s="283"/>
      <c r="N130" s="94"/>
      <c r="O130" s="354"/>
      <c r="P130" s="94"/>
      <c r="Q130" s="94"/>
      <c r="R130" s="94"/>
      <c r="S130" s="94"/>
      <c r="T130" s="94"/>
      <c r="U130" s="94"/>
      <c r="V130" s="94"/>
      <c r="W130" s="283"/>
      <c r="X130" s="4"/>
      <c r="Y130" s="4"/>
      <c r="Z130" s="4"/>
    </row>
  </sheetData>
  <mergeCells count="7">
    <mergeCell ref="B87:F87"/>
    <mergeCell ref="B84:F84"/>
    <mergeCell ref="B86:F86"/>
    <mergeCell ref="M2:S2"/>
    <mergeCell ref="C79:F79"/>
    <mergeCell ref="C80:F80"/>
    <mergeCell ref="C81:F81"/>
  </mergeCells>
  <pageMargins left="0.60416666666666663" right="0.59375" top="1" bottom="0.75" header="0.55000000000000004" footer="0.3"/>
  <pageSetup fitToHeight="0" orientation="landscape" horizontalDpi="300" verticalDpi="300"/>
  <headerFooter>
    <oddHeader xml:space="preserve">&amp;C&amp;"Arial,Bold"&amp;12 Orange County Council of Governments
&amp;14 Revenues and Expenditures -  Adopted FY 18-19
 Budget
&amp;10 </oddHeader>
    <oddFooter>&amp;R&amp;"Arial,Bold"&amp;8 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sqref="A1:XFD1048576"/>
    </sheetView>
  </sheetViews>
  <sheetFormatPr defaultColWidth="11.453125" defaultRowHeight="14.5" x14ac:dyDescent="0.35"/>
  <cols>
    <col min="1" max="1" width="19.6328125" customWidth="1"/>
    <col min="2" max="2" width="13" style="94" customWidth="1"/>
    <col min="3" max="4" width="12.1796875" style="94" customWidth="1"/>
    <col min="5" max="5" width="11.453125" style="94"/>
    <col min="6" max="6" width="15.81640625" style="94" bestFit="1" customWidth="1"/>
  </cols>
  <sheetData>
    <row r="1" spans="1:7" s="3" customFormat="1" x14ac:dyDescent="0.35">
      <c r="B1" s="96" t="s">
        <v>322</v>
      </c>
      <c r="C1" s="96" t="s">
        <v>323</v>
      </c>
      <c r="D1" s="96" t="s">
        <v>337</v>
      </c>
      <c r="E1" s="96" t="s">
        <v>325</v>
      </c>
      <c r="F1" s="96" t="s">
        <v>328</v>
      </c>
      <c r="G1" s="3" t="s">
        <v>327</v>
      </c>
    </row>
    <row r="2" spans="1:7" x14ac:dyDescent="0.35">
      <c r="A2" t="s">
        <v>154</v>
      </c>
      <c r="B2" s="94">
        <v>62473</v>
      </c>
      <c r="C2" s="94">
        <v>24000</v>
      </c>
      <c r="F2" s="94">
        <f t="shared" ref="F2:F10" si="0">SUM(B2:E2)</f>
        <v>86473</v>
      </c>
      <c r="G2" t="s">
        <v>364</v>
      </c>
    </row>
    <row r="3" spans="1:7" x14ac:dyDescent="0.35">
      <c r="A3" t="s">
        <v>145</v>
      </c>
      <c r="B3" s="94">
        <v>15000</v>
      </c>
      <c r="C3" s="94">
        <v>30000</v>
      </c>
      <c r="D3" s="94">
        <v>2500</v>
      </c>
      <c r="F3" s="94">
        <f t="shared" si="0"/>
        <v>47500</v>
      </c>
      <c r="G3" t="s">
        <v>352</v>
      </c>
    </row>
    <row r="4" spans="1:7" x14ac:dyDescent="0.35">
      <c r="A4" t="s">
        <v>331</v>
      </c>
      <c r="B4" s="94">
        <v>0</v>
      </c>
      <c r="C4" s="94">
        <v>36000</v>
      </c>
      <c r="D4" s="94" t="s">
        <v>338</v>
      </c>
      <c r="F4" s="94">
        <f t="shared" si="0"/>
        <v>36000</v>
      </c>
      <c r="G4" t="s">
        <v>333</v>
      </c>
    </row>
    <row r="5" spans="1:7" x14ac:dyDescent="0.35">
      <c r="A5" t="s">
        <v>330</v>
      </c>
      <c r="B5" s="94">
        <v>5000</v>
      </c>
      <c r="C5" s="94">
        <v>20000</v>
      </c>
      <c r="E5" s="94">
        <v>25000</v>
      </c>
      <c r="F5" s="94">
        <f t="shared" si="0"/>
        <v>50000</v>
      </c>
      <c r="G5" t="s">
        <v>334</v>
      </c>
    </row>
    <row r="6" spans="1:7" x14ac:dyDescent="0.35">
      <c r="A6" t="s">
        <v>146</v>
      </c>
      <c r="B6" s="94">
        <v>2000</v>
      </c>
      <c r="C6" s="94">
        <v>8000</v>
      </c>
      <c r="D6" s="94" t="s">
        <v>338</v>
      </c>
      <c r="F6" s="94">
        <f t="shared" si="0"/>
        <v>10000</v>
      </c>
      <c r="G6" t="s">
        <v>335</v>
      </c>
    </row>
    <row r="7" spans="1:7" x14ac:dyDescent="0.35">
      <c r="A7" t="s">
        <v>155</v>
      </c>
      <c r="B7" s="94">
        <v>12000</v>
      </c>
      <c r="C7" s="94">
        <v>40000</v>
      </c>
      <c r="D7" s="94" t="s">
        <v>338</v>
      </c>
      <c r="F7" s="94">
        <f t="shared" si="0"/>
        <v>52000</v>
      </c>
      <c r="G7" t="s">
        <v>365</v>
      </c>
    </row>
    <row r="8" spans="1:7" x14ac:dyDescent="0.35">
      <c r="A8" t="s">
        <v>144</v>
      </c>
      <c r="B8" s="94">
        <v>45000</v>
      </c>
      <c r="C8" s="94">
        <v>103698</v>
      </c>
      <c r="D8" s="94" t="s">
        <v>338</v>
      </c>
      <c r="F8" s="94">
        <f t="shared" si="0"/>
        <v>148698</v>
      </c>
      <c r="G8" t="s">
        <v>326</v>
      </c>
    </row>
    <row r="9" spans="1:7" x14ac:dyDescent="0.35">
      <c r="A9" t="s">
        <v>151</v>
      </c>
      <c r="B9" s="94">
        <v>52000</v>
      </c>
      <c r="C9" s="94">
        <v>24000</v>
      </c>
      <c r="D9" s="94">
        <v>5000</v>
      </c>
      <c r="F9" s="94">
        <f t="shared" si="0"/>
        <v>81000</v>
      </c>
      <c r="G9" t="s">
        <v>351</v>
      </c>
    </row>
    <row r="10" spans="1:7" ht="15" thickBot="1" x14ac:dyDescent="0.4">
      <c r="A10" s="92" t="s">
        <v>332</v>
      </c>
      <c r="B10" s="95">
        <v>7500</v>
      </c>
      <c r="C10" s="95">
        <v>7500</v>
      </c>
      <c r="D10" s="95"/>
      <c r="E10" s="95"/>
      <c r="F10" s="95">
        <f t="shared" si="0"/>
        <v>15000</v>
      </c>
      <c r="G10" t="s">
        <v>329</v>
      </c>
    </row>
    <row r="11" spans="1:7" x14ac:dyDescent="0.35">
      <c r="A11" s="5" t="s">
        <v>324</v>
      </c>
      <c r="B11" s="293">
        <f>SUM(B2:B10)</f>
        <v>200973</v>
      </c>
      <c r="C11" s="293">
        <f>SUM(C2:C10)</f>
        <v>293198</v>
      </c>
      <c r="D11" s="293">
        <f>SUM(D2:D10)</f>
        <v>7500</v>
      </c>
      <c r="E11" s="293">
        <f>SUM(E2:E10)</f>
        <v>25000</v>
      </c>
      <c r="F11" s="293">
        <f>SUM(F2:F10)</f>
        <v>526671</v>
      </c>
    </row>
    <row r="12" spans="1:7" x14ac:dyDescent="0.35">
      <c r="A12" s="5"/>
      <c r="B12" s="293"/>
      <c r="C12" s="293"/>
      <c r="D12" s="293"/>
      <c r="E12" s="293"/>
      <c r="F12" s="293"/>
    </row>
    <row r="14" spans="1:7" x14ac:dyDescent="0.35">
      <c r="A14" t="s">
        <v>336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B27" sqref="B27"/>
    </sheetView>
  </sheetViews>
  <sheetFormatPr defaultColWidth="11.453125" defaultRowHeight="14.5" x14ac:dyDescent="0.35"/>
  <cols>
    <col min="1" max="1" width="18.453125" bestFit="1" customWidth="1"/>
    <col min="2" max="2" width="11.453125" style="94"/>
  </cols>
  <sheetData>
    <row r="1" spans="1:3" x14ac:dyDescent="0.35">
      <c r="A1" t="s">
        <v>341</v>
      </c>
    </row>
    <row r="3" spans="1:3" x14ac:dyDescent="0.35">
      <c r="A3" s="75" t="s">
        <v>58</v>
      </c>
    </row>
    <row r="4" spans="1:3" x14ac:dyDescent="0.35">
      <c r="C4" t="s">
        <v>302</v>
      </c>
    </row>
    <row r="5" spans="1:3" x14ac:dyDescent="0.35">
      <c r="A5" t="s">
        <v>300</v>
      </c>
      <c r="B5" s="94">
        <v>55000</v>
      </c>
      <c r="C5" t="s">
        <v>342</v>
      </c>
    </row>
    <row r="6" spans="1:3" ht="15" thickBot="1" x14ac:dyDescent="0.4">
      <c r="A6" t="s">
        <v>301</v>
      </c>
      <c r="B6" s="95">
        <v>12500</v>
      </c>
      <c r="C6" t="s">
        <v>343</v>
      </c>
    </row>
    <row r="7" spans="1:3" x14ac:dyDescent="0.35">
      <c r="A7" t="s">
        <v>63</v>
      </c>
      <c r="B7" s="94">
        <f>SUM(B5:B6)</f>
        <v>67500</v>
      </c>
    </row>
    <row r="9" spans="1:3" x14ac:dyDescent="0.35">
      <c r="A9" t="s">
        <v>64</v>
      </c>
    </row>
    <row r="11" spans="1:3" x14ac:dyDescent="0.35">
      <c r="A11" t="s">
        <v>303</v>
      </c>
      <c r="B11" s="94">
        <f>75*255</f>
        <v>19125</v>
      </c>
      <c r="C11" t="s">
        <v>344</v>
      </c>
    </row>
    <row r="12" spans="1:3" x14ac:dyDescent="0.35">
      <c r="A12" t="s">
        <v>309</v>
      </c>
      <c r="B12" s="94">
        <f>0.25*B11</f>
        <v>4781.25</v>
      </c>
      <c r="C12" s="1">
        <v>0.25</v>
      </c>
    </row>
    <row r="13" spans="1:3" ht="15" thickBot="1" x14ac:dyDescent="0.4">
      <c r="A13" t="s">
        <v>304</v>
      </c>
      <c r="B13" s="95">
        <f>0.08*B11</f>
        <v>1530</v>
      </c>
      <c r="C13" s="1">
        <v>0.08</v>
      </c>
    </row>
    <row r="14" spans="1:3" x14ac:dyDescent="0.35">
      <c r="A14" t="s">
        <v>70</v>
      </c>
      <c r="B14" s="94">
        <f>SUM(B11:B13)</f>
        <v>25436.25</v>
      </c>
    </row>
    <row r="16" spans="1:3" x14ac:dyDescent="0.35">
      <c r="A16" t="s">
        <v>306</v>
      </c>
      <c r="B16" s="94">
        <v>0</v>
      </c>
    </row>
    <row r="17" spans="1:3" x14ac:dyDescent="0.35">
      <c r="A17" t="s">
        <v>74</v>
      </c>
      <c r="B17" s="94">
        <v>0</v>
      </c>
      <c r="C17" t="s">
        <v>316</v>
      </c>
    </row>
    <row r="18" spans="1:3" x14ac:dyDescent="0.35">
      <c r="A18" t="s">
        <v>73</v>
      </c>
      <c r="B18" s="94">
        <v>6000</v>
      </c>
    </row>
    <row r="19" spans="1:3" x14ac:dyDescent="0.35">
      <c r="A19" t="s">
        <v>307</v>
      </c>
      <c r="B19" s="94">
        <v>5000</v>
      </c>
    </row>
    <row r="20" spans="1:3" x14ac:dyDescent="0.35">
      <c r="A20" t="s">
        <v>81</v>
      </c>
      <c r="B20" s="94">
        <v>2500</v>
      </c>
      <c r="C20" t="s">
        <v>315</v>
      </c>
    </row>
    <row r="21" spans="1:3" x14ac:dyDescent="0.35">
      <c r="A21" t="s">
        <v>313</v>
      </c>
      <c r="B21" s="94">
        <v>500</v>
      </c>
    </row>
    <row r="22" spans="1:3" x14ac:dyDescent="0.35">
      <c r="A22" t="s">
        <v>314</v>
      </c>
      <c r="B22" s="94">
        <v>0</v>
      </c>
    </row>
    <row r="23" spans="1:3" x14ac:dyDescent="0.35">
      <c r="A23" t="s">
        <v>71</v>
      </c>
      <c r="B23" s="94">
        <v>1000</v>
      </c>
    </row>
    <row r="24" spans="1:3" ht="15" thickBot="1" x14ac:dyDescent="0.4">
      <c r="A24" t="s">
        <v>305</v>
      </c>
      <c r="B24" s="95">
        <v>0</v>
      </c>
      <c r="C24" t="s">
        <v>308</v>
      </c>
    </row>
    <row r="25" spans="1:3" x14ac:dyDescent="0.35">
      <c r="A25" t="s">
        <v>310</v>
      </c>
      <c r="B25" s="94">
        <f>SUM(B16:B24)</f>
        <v>15000</v>
      </c>
    </row>
    <row r="26" spans="1:3" ht="15" thickBot="1" x14ac:dyDescent="0.4">
      <c r="B26" s="95"/>
    </row>
    <row r="27" spans="1:3" x14ac:dyDescent="0.35">
      <c r="A27" t="s">
        <v>311</v>
      </c>
      <c r="B27" s="293">
        <f>SUM(B14+B25)</f>
        <v>40436.25</v>
      </c>
    </row>
    <row r="29" spans="1:3" x14ac:dyDescent="0.35">
      <c r="A29" t="s">
        <v>312</v>
      </c>
      <c r="B29" s="94">
        <f>B7-B27</f>
        <v>27063.75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B11" sqref="B11"/>
    </sheetView>
  </sheetViews>
  <sheetFormatPr defaultColWidth="11.453125" defaultRowHeight="14.5" x14ac:dyDescent="0.35"/>
  <cols>
    <col min="1" max="1" width="32.81640625" bestFit="1" customWidth="1"/>
    <col min="2" max="2" width="13.81640625" style="94" customWidth="1"/>
    <col min="3" max="3" width="43.1796875" customWidth="1"/>
  </cols>
  <sheetData>
    <row r="1" spans="1:3" x14ac:dyDescent="0.35">
      <c r="A1" s="75" t="s">
        <v>58</v>
      </c>
      <c r="B1" s="96" t="s">
        <v>193</v>
      </c>
      <c r="C1" s="3" t="s">
        <v>59</v>
      </c>
    </row>
    <row r="2" spans="1:3" x14ac:dyDescent="0.35">
      <c r="A2" t="s">
        <v>184</v>
      </c>
      <c r="B2" s="94">
        <v>53672</v>
      </c>
      <c r="C2" t="s">
        <v>189</v>
      </c>
    </row>
    <row r="3" spans="1:3" x14ac:dyDescent="0.35">
      <c r="A3" t="s">
        <v>183</v>
      </c>
      <c r="B3" s="94">
        <v>20000</v>
      </c>
    </row>
    <row r="4" spans="1:3" x14ac:dyDescent="0.35">
      <c r="A4" t="s">
        <v>185</v>
      </c>
      <c r="B4" s="94">
        <f>'DRAFT 2022-2023 Budget  '!K37</f>
        <v>20000</v>
      </c>
    </row>
    <row r="5" spans="1:3" ht="15" thickBot="1" x14ac:dyDescent="0.4">
      <c r="A5" t="s">
        <v>186</v>
      </c>
      <c r="B5" s="95">
        <v>240202</v>
      </c>
      <c r="C5" t="s">
        <v>190</v>
      </c>
    </row>
    <row r="6" spans="1:3" x14ac:dyDescent="0.35">
      <c r="A6" t="s">
        <v>191</v>
      </c>
      <c r="B6" s="94">
        <f>SUM(B2:B5)</f>
        <v>333874</v>
      </c>
    </row>
    <row r="8" spans="1:3" x14ac:dyDescent="0.35">
      <c r="A8" s="75" t="s">
        <v>64</v>
      </c>
    </row>
    <row r="9" spans="1:3" x14ac:dyDescent="0.35">
      <c r="A9" t="s">
        <v>187</v>
      </c>
      <c r="B9" s="94">
        <f>'DRAFT 2022-2023 Budget  '!K24</f>
        <v>331212</v>
      </c>
    </row>
    <row r="11" spans="1:3" x14ac:dyDescent="0.35">
      <c r="A11" s="3" t="s">
        <v>188</v>
      </c>
      <c r="B11" s="94">
        <f>B6-B9</f>
        <v>2662</v>
      </c>
      <c r="C11" t="s">
        <v>192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3"/>
  <sheetViews>
    <sheetView workbookViewId="0">
      <selection activeCell="B18" sqref="B18"/>
    </sheetView>
  </sheetViews>
  <sheetFormatPr defaultColWidth="11.453125" defaultRowHeight="14.5" x14ac:dyDescent="0.35"/>
  <cols>
    <col min="1" max="1" width="21.1796875" customWidth="1"/>
  </cols>
  <sheetData>
    <row r="1" spans="1:5" x14ac:dyDescent="0.35">
      <c r="A1" t="s">
        <v>143</v>
      </c>
    </row>
    <row r="2" spans="1:5" x14ac:dyDescent="0.35">
      <c r="B2" t="s">
        <v>148</v>
      </c>
      <c r="C2" t="s">
        <v>150</v>
      </c>
      <c r="D2" t="s">
        <v>149</v>
      </c>
    </row>
    <row r="3" spans="1:5" x14ac:dyDescent="0.35">
      <c r="A3" t="s">
        <v>144</v>
      </c>
      <c r="B3" s="90">
        <v>136450</v>
      </c>
      <c r="C3">
        <v>30</v>
      </c>
      <c r="D3" s="90">
        <v>40935</v>
      </c>
      <c r="E3" t="s">
        <v>158</v>
      </c>
    </row>
    <row r="4" spans="1:5" x14ac:dyDescent="0.35">
      <c r="A4" t="s">
        <v>154</v>
      </c>
      <c r="B4">
        <v>60000</v>
      </c>
      <c r="C4" s="1">
        <v>1</v>
      </c>
      <c r="D4">
        <v>60000</v>
      </c>
      <c r="E4" t="s">
        <v>177</v>
      </c>
    </row>
    <row r="5" spans="1:5" x14ac:dyDescent="0.35">
      <c r="A5" t="s">
        <v>145</v>
      </c>
      <c r="B5">
        <v>34000</v>
      </c>
      <c r="C5">
        <v>25</v>
      </c>
      <c r="D5">
        <v>8500</v>
      </c>
      <c r="E5" t="s">
        <v>176</v>
      </c>
    </row>
    <row r="6" spans="1:5" x14ac:dyDescent="0.35">
      <c r="A6" t="s">
        <v>146</v>
      </c>
      <c r="B6">
        <v>10000</v>
      </c>
      <c r="C6">
        <v>25</v>
      </c>
      <c r="D6">
        <v>2500</v>
      </c>
      <c r="E6" t="s">
        <v>175</v>
      </c>
    </row>
    <row r="7" spans="1:5" x14ac:dyDescent="0.35">
      <c r="A7" t="s">
        <v>147</v>
      </c>
      <c r="B7">
        <v>50000</v>
      </c>
      <c r="C7">
        <v>10</v>
      </c>
      <c r="D7">
        <v>5000</v>
      </c>
      <c r="E7" t="s">
        <v>174</v>
      </c>
    </row>
    <row r="8" spans="1:5" ht="15" thickBot="1" x14ac:dyDescent="0.4">
      <c r="A8" t="s">
        <v>152</v>
      </c>
      <c r="B8" s="92">
        <v>30000</v>
      </c>
      <c r="C8" s="5">
        <v>25</v>
      </c>
      <c r="D8" s="92">
        <v>7500</v>
      </c>
      <c r="E8" t="s">
        <v>173</v>
      </c>
    </row>
    <row r="9" spans="1:5" x14ac:dyDescent="0.35">
      <c r="B9">
        <f>SUM(B2:B8)</f>
        <v>320450</v>
      </c>
      <c r="D9">
        <f>SUM(D2:D8)</f>
        <v>124435</v>
      </c>
    </row>
    <row r="11" spans="1:5" x14ac:dyDescent="0.35">
      <c r="A11" t="s">
        <v>178</v>
      </c>
    </row>
    <row r="12" spans="1:5" x14ac:dyDescent="0.35">
      <c r="A12" s="3" t="s">
        <v>153</v>
      </c>
    </row>
    <row r="13" spans="1:5" x14ac:dyDescent="0.35">
      <c r="A13" t="s">
        <v>144</v>
      </c>
      <c r="B13">
        <v>7500</v>
      </c>
      <c r="C13">
        <v>100</v>
      </c>
      <c r="D13">
        <v>7500</v>
      </c>
      <c r="E13" t="s">
        <v>164</v>
      </c>
    </row>
    <row r="14" spans="1:5" x14ac:dyDescent="0.35">
      <c r="A14" t="s">
        <v>151</v>
      </c>
      <c r="B14" s="90">
        <v>20000</v>
      </c>
      <c r="C14">
        <v>100</v>
      </c>
      <c r="D14">
        <v>20000</v>
      </c>
      <c r="E14" t="s">
        <v>161</v>
      </c>
    </row>
    <row r="15" spans="1:5" x14ac:dyDescent="0.35">
      <c r="A15" t="s">
        <v>145</v>
      </c>
      <c r="B15" s="90">
        <v>10000</v>
      </c>
      <c r="C15">
        <v>100</v>
      </c>
      <c r="D15">
        <v>10000</v>
      </c>
      <c r="E15" t="s">
        <v>165</v>
      </c>
    </row>
    <row r="16" spans="1:5" x14ac:dyDescent="0.35">
      <c r="A16" t="s">
        <v>154</v>
      </c>
      <c r="B16">
        <v>5000</v>
      </c>
      <c r="C16">
        <v>100</v>
      </c>
      <c r="D16">
        <v>5000</v>
      </c>
      <c r="E16" t="s">
        <v>159</v>
      </c>
    </row>
    <row r="17" spans="1:5" ht="15" thickBot="1" x14ac:dyDescent="0.4">
      <c r="A17" t="s">
        <v>155</v>
      </c>
      <c r="B17" s="92">
        <v>2500</v>
      </c>
      <c r="C17">
        <v>100</v>
      </c>
      <c r="D17">
        <v>2500</v>
      </c>
      <c r="E17" t="s">
        <v>160</v>
      </c>
    </row>
    <row r="18" spans="1:5" x14ac:dyDescent="0.35">
      <c r="A18" s="3" t="s">
        <v>166</v>
      </c>
      <c r="B18" s="3">
        <f>SUM(B13:B17)</f>
        <v>45000</v>
      </c>
      <c r="D18" s="3">
        <f>SUM(D13:D17)</f>
        <v>45000</v>
      </c>
    </row>
    <row r="20" spans="1:5" x14ac:dyDescent="0.35">
      <c r="A20" s="3" t="s">
        <v>156</v>
      </c>
    </row>
    <row r="21" spans="1:5" x14ac:dyDescent="0.35">
      <c r="A21" s="91" t="s">
        <v>144</v>
      </c>
      <c r="E21" t="s">
        <v>163</v>
      </c>
    </row>
    <row r="22" spans="1:5" x14ac:dyDescent="0.35">
      <c r="A22" s="91" t="s">
        <v>151</v>
      </c>
      <c r="B22" s="90">
        <v>8000</v>
      </c>
    </row>
    <row r="23" spans="1:5" x14ac:dyDescent="0.35">
      <c r="A23" s="91" t="s">
        <v>145</v>
      </c>
      <c r="B23">
        <v>2000</v>
      </c>
    </row>
    <row r="24" spans="1:5" x14ac:dyDescent="0.35">
      <c r="A24" s="91" t="s">
        <v>154</v>
      </c>
    </row>
    <row r="25" spans="1:5" ht="15" thickBot="1" x14ac:dyDescent="0.4">
      <c r="A25" s="91" t="s">
        <v>155</v>
      </c>
      <c r="B25" s="92"/>
    </row>
    <row r="26" spans="1:5" x14ac:dyDescent="0.35">
      <c r="A26" s="3" t="s">
        <v>166</v>
      </c>
      <c r="B26" s="3"/>
    </row>
    <row r="29" spans="1:5" x14ac:dyDescent="0.35">
      <c r="A29" s="3" t="s">
        <v>157</v>
      </c>
    </row>
    <row r="30" spans="1:5" x14ac:dyDescent="0.35">
      <c r="A30" s="91" t="s">
        <v>144</v>
      </c>
      <c r="B30">
        <v>0</v>
      </c>
      <c r="D30">
        <v>0</v>
      </c>
      <c r="E30" t="s">
        <v>163</v>
      </c>
    </row>
    <row r="31" spans="1:5" x14ac:dyDescent="0.35">
      <c r="A31" s="91" t="s">
        <v>151</v>
      </c>
      <c r="B31">
        <v>14000</v>
      </c>
      <c r="C31">
        <v>100</v>
      </c>
      <c r="D31">
        <v>14000</v>
      </c>
      <c r="E31" t="s">
        <v>179</v>
      </c>
    </row>
    <row r="32" spans="1:5" ht="15" thickBot="1" x14ac:dyDescent="0.4">
      <c r="A32" s="91" t="s">
        <v>145</v>
      </c>
      <c r="B32" s="92">
        <v>10000</v>
      </c>
      <c r="C32">
        <v>25</v>
      </c>
      <c r="D32">
        <v>2500</v>
      </c>
      <c r="E32" t="s">
        <v>162</v>
      </c>
    </row>
    <row r="33" spans="1:2" x14ac:dyDescent="0.35">
      <c r="A33" s="3" t="s">
        <v>166</v>
      </c>
      <c r="B33" s="3"/>
    </row>
    <row r="35" spans="1:2" x14ac:dyDescent="0.35">
      <c r="A35" s="93" t="s">
        <v>167</v>
      </c>
    </row>
    <row r="36" spans="1:2" x14ac:dyDescent="0.35">
      <c r="A36" s="91" t="s">
        <v>144</v>
      </c>
    </row>
    <row r="37" spans="1:2" ht="15" thickBot="1" x14ac:dyDescent="0.4">
      <c r="A37" s="91" t="s">
        <v>154</v>
      </c>
      <c r="B37" s="92"/>
    </row>
    <row r="38" spans="1:2" x14ac:dyDescent="0.35">
      <c r="A38" s="3" t="s">
        <v>166</v>
      </c>
      <c r="B38" s="3"/>
    </row>
    <row r="40" spans="1:2" x14ac:dyDescent="0.35">
      <c r="A40" s="93" t="s">
        <v>168</v>
      </c>
    </row>
    <row r="41" spans="1:2" x14ac:dyDescent="0.35">
      <c r="A41" s="91" t="s">
        <v>144</v>
      </c>
    </row>
    <row r="42" spans="1:2" ht="15" thickBot="1" x14ac:dyDescent="0.4">
      <c r="A42" s="91" t="s">
        <v>154</v>
      </c>
      <c r="B42" s="92"/>
    </row>
    <row r="43" spans="1:2" x14ac:dyDescent="0.35">
      <c r="A43" s="3" t="s">
        <v>166</v>
      </c>
      <c r="B43" s="3"/>
    </row>
    <row r="45" spans="1:2" x14ac:dyDescent="0.35">
      <c r="A45" s="93" t="s">
        <v>169</v>
      </c>
    </row>
    <row r="46" spans="1:2" x14ac:dyDescent="0.35">
      <c r="A46" s="91" t="s">
        <v>144</v>
      </c>
    </row>
    <row r="47" spans="1:2" x14ac:dyDescent="0.35">
      <c r="A47" s="91" t="s">
        <v>154</v>
      </c>
    </row>
    <row r="48" spans="1:2" x14ac:dyDescent="0.35">
      <c r="A48" s="91" t="s">
        <v>155</v>
      </c>
    </row>
    <row r="49" spans="1:1" x14ac:dyDescent="0.35">
      <c r="A49" s="91" t="s">
        <v>147</v>
      </c>
    </row>
    <row r="50" spans="1:1" x14ac:dyDescent="0.35">
      <c r="A50" s="91" t="s">
        <v>146</v>
      </c>
    </row>
    <row r="52" spans="1:1" x14ac:dyDescent="0.35">
      <c r="A52" s="93" t="s">
        <v>171</v>
      </c>
    </row>
    <row r="53" spans="1:1" x14ac:dyDescent="0.35">
      <c r="A53" s="91" t="s">
        <v>144</v>
      </c>
    </row>
    <row r="54" spans="1:1" x14ac:dyDescent="0.35">
      <c r="A54" s="91" t="s">
        <v>154</v>
      </c>
    </row>
    <row r="55" spans="1:1" x14ac:dyDescent="0.35">
      <c r="A55" s="91" t="s">
        <v>155</v>
      </c>
    </row>
    <row r="56" spans="1:1" x14ac:dyDescent="0.35">
      <c r="A56" s="91" t="s">
        <v>147</v>
      </c>
    </row>
    <row r="57" spans="1:1" x14ac:dyDescent="0.35">
      <c r="A57" s="91" t="s">
        <v>146</v>
      </c>
    </row>
    <row r="60" spans="1:1" x14ac:dyDescent="0.35">
      <c r="A60" s="93" t="s">
        <v>172</v>
      </c>
    </row>
    <row r="61" spans="1:1" x14ac:dyDescent="0.35">
      <c r="A61" s="91" t="s">
        <v>144</v>
      </c>
    </row>
    <row r="62" spans="1:1" x14ac:dyDescent="0.35">
      <c r="A62" s="91" t="s">
        <v>154</v>
      </c>
    </row>
    <row r="63" spans="1:1" x14ac:dyDescent="0.35">
      <c r="A63" s="91" t="s">
        <v>155</v>
      </c>
    </row>
    <row r="64" spans="1:1" x14ac:dyDescent="0.35">
      <c r="A64" s="91" t="s">
        <v>147</v>
      </c>
    </row>
    <row r="65" spans="1:1" x14ac:dyDescent="0.35">
      <c r="A65" s="91" t="s">
        <v>146</v>
      </c>
    </row>
    <row r="68" spans="1:1" x14ac:dyDescent="0.35">
      <c r="A68" s="93" t="s">
        <v>170</v>
      </c>
    </row>
    <row r="69" spans="1:1" x14ac:dyDescent="0.35">
      <c r="A69" s="91" t="s">
        <v>144</v>
      </c>
    </row>
    <row r="70" spans="1:1" x14ac:dyDescent="0.35">
      <c r="A70" s="91" t="s">
        <v>154</v>
      </c>
    </row>
    <row r="71" spans="1:1" x14ac:dyDescent="0.35">
      <c r="A71" s="91" t="s">
        <v>155</v>
      </c>
    </row>
    <row r="72" spans="1:1" x14ac:dyDescent="0.35">
      <c r="A72" s="91" t="s">
        <v>147</v>
      </c>
    </row>
    <row r="73" spans="1:1" x14ac:dyDescent="0.35">
      <c r="A73" s="91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3"/>
  <sheetViews>
    <sheetView workbookViewId="0">
      <selection activeCell="B28" sqref="B28"/>
    </sheetView>
  </sheetViews>
  <sheetFormatPr defaultColWidth="10.81640625" defaultRowHeight="14.5" x14ac:dyDescent="0.35"/>
  <cols>
    <col min="1" max="1" width="18.36328125" style="5" bestFit="1" customWidth="1"/>
    <col min="2" max="2" width="17.6328125" style="5" bestFit="1" customWidth="1"/>
    <col min="3" max="3" width="14.6328125" style="5" bestFit="1" customWidth="1"/>
    <col min="4" max="4" width="16.1796875" style="5" bestFit="1" customWidth="1"/>
    <col min="5" max="5" width="16" style="5" bestFit="1" customWidth="1"/>
    <col min="6" max="6" width="16.6328125" style="5" bestFit="1" customWidth="1"/>
    <col min="7" max="7" width="16" style="5" bestFit="1" customWidth="1"/>
    <col min="8" max="8" width="13.6328125" style="5" bestFit="1" customWidth="1"/>
    <col min="9" max="9" width="15.6328125" style="5" bestFit="1" customWidth="1"/>
    <col min="10" max="10" width="33" style="5" customWidth="1"/>
    <col min="11" max="16384" width="10.81640625" style="5"/>
  </cols>
  <sheetData>
    <row r="1" spans="1:10" ht="23.5" x14ac:dyDescent="0.55000000000000004">
      <c r="A1" s="465" t="s">
        <v>124</v>
      </c>
      <c r="B1" s="465"/>
      <c r="C1" s="465"/>
      <c r="D1" s="465"/>
      <c r="E1" s="465"/>
      <c r="F1" s="465"/>
      <c r="G1" s="465"/>
      <c r="H1" s="465"/>
      <c r="I1" s="465"/>
      <c r="J1" s="465"/>
    </row>
    <row r="2" spans="1:10" x14ac:dyDescent="0.35">
      <c r="A2" s="6"/>
      <c r="B2" s="6"/>
      <c r="C2" s="6"/>
      <c r="D2" s="6"/>
      <c r="E2" s="6"/>
      <c r="F2" s="6"/>
      <c r="G2" s="6"/>
      <c r="H2" s="6"/>
      <c r="I2" s="7"/>
      <c r="J2" s="8"/>
    </row>
    <row r="3" spans="1:10" ht="15.5" x14ac:dyDescent="0.35">
      <c r="A3" s="9" t="s">
        <v>58</v>
      </c>
      <c r="B3" s="10" t="s">
        <v>98</v>
      </c>
      <c r="C3" s="29" t="s">
        <v>95</v>
      </c>
      <c r="D3" s="30" t="s">
        <v>96</v>
      </c>
      <c r="E3" s="12" t="s">
        <v>97</v>
      </c>
      <c r="F3" s="12" t="s">
        <v>103</v>
      </c>
      <c r="G3" s="11" t="s">
        <v>104</v>
      </c>
      <c r="H3" s="11" t="s">
        <v>105</v>
      </c>
      <c r="I3" s="11" t="s">
        <v>106</v>
      </c>
      <c r="J3" s="13" t="s">
        <v>59</v>
      </c>
    </row>
    <row r="4" spans="1:10" ht="29" x14ac:dyDescent="0.35">
      <c r="A4" s="14" t="s">
        <v>60</v>
      </c>
      <c r="B4" s="15">
        <v>55000</v>
      </c>
      <c r="C4" s="31">
        <v>18000</v>
      </c>
      <c r="D4" s="31">
        <v>50000</v>
      </c>
      <c r="E4" s="17">
        <v>3500</v>
      </c>
      <c r="F4" s="17">
        <v>50000</v>
      </c>
      <c r="G4" s="16">
        <v>21500</v>
      </c>
      <c r="H4" s="16">
        <v>29500</v>
      </c>
      <c r="I4" s="16">
        <v>18000</v>
      </c>
      <c r="J4" s="18" t="s">
        <v>122</v>
      </c>
    </row>
    <row r="5" spans="1:10" ht="29" x14ac:dyDescent="0.35">
      <c r="A5" s="14" t="s">
        <v>61</v>
      </c>
      <c r="B5" s="15">
        <v>10000</v>
      </c>
      <c r="C5" s="31">
        <v>0</v>
      </c>
      <c r="D5" s="31">
        <v>10000</v>
      </c>
      <c r="E5" s="17">
        <v>4026</v>
      </c>
      <c r="F5" s="17">
        <v>10000</v>
      </c>
      <c r="G5" s="16">
        <v>9406</v>
      </c>
      <c r="H5" s="16">
        <v>4081</v>
      </c>
      <c r="I5" s="16">
        <v>8663.2099999999991</v>
      </c>
      <c r="J5" s="18" t="s">
        <v>123</v>
      </c>
    </row>
    <row r="6" spans="1:10" ht="15" thickBot="1" x14ac:dyDescent="0.4">
      <c r="A6" s="14" t="s">
        <v>62</v>
      </c>
      <c r="B6" s="26">
        <v>1000</v>
      </c>
      <c r="C6" s="32">
        <v>1000</v>
      </c>
      <c r="D6" s="32">
        <v>1000</v>
      </c>
      <c r="E6" s="28">
        <v>0</v>
      </c>
      <c r="F6" s="28">
        <v>1000</v>
      </c>
      <c r="G6" s="27">
        <v>1000</v>
      </c>
      <c r="H6" s="27">
        <v>2500</v>
      </c>
      <c r="I6" s="27">
        <v>8000</v>
      </c>
      <c r="J6" s="18"/>
    </row>
    <row r="7" spans="1:10" ht="15.5" x14ac:dyDescent="0.35">
      <c r="A7" s="9" t="s">
        <v>63</v>
      </c>
      <c r="B7" s="10">
        <f>SUM(B4:B6)</f>
        <v>66000</v>
      </c>
      <c r="C7" s="30">
        <f>SUM(C4:C6)</f>
        <v>19000</v>
      </c>
      <c r="D7" s="30">
        <f>SUM(D4:D6)</f>
        <v>61000</v>
      </c>
      <c r="E7" s="12">
        <v>8526</v>
      </c>
      <c r="F7" s="12">
        <f>SUM(F4:F6)</f>
        <v>61000</v>
      </c>
      <c r="G7" s="11">
        <f>SUM(G4:G6)</f>
        <v>31906</v>
      </c>
      <c r="H7" s="11">
        <f>SUM(H4:H6)</f>
        <v>36081</v>
      </c>
      <c r="I7" s="11">
        <f>SUM(I4:I6)</f>
        <v>34663.21</v>
      </c>
      <c r="J7" s="18"/>
    </row>
    <row r="8" spans="1:10" x14ac:dyDescent="0.35">
      <c r="A8" s="14"/>
      <c r="B8" s="15"/>
      <c r="C8" s="33"/>
      <c r="D8" s="31"/>
      <c r="E8" s="17"/>
      <c r="F8" s="17"/>
      <c r="G8" s="16"/>
      <c r="H8" s="16"/>
      <c r="I8" s="16"/>
      <c r="J8" s="18"/>
    </row>
    <row r="9" spans="1:10" ht="15.5" x14ac:dyDescent="0.35">
      <c r="A9" s="9" t="s">
        <v>64</v>
      </c>
      <c r="B9" s="15"/>
      <c r="C9" s="29"/>
      <c r="D9" s="31"/>
      <c r="E9" s="17"/>
      <c r="F9" s="17"/>
      <c r="G9" s="16"/>
      <c r="H9" s="16"/>
      <c r="I9" s="16"/>
      <c r="J9" s="18"/>
    </row>
    <row r="10" spans="1:10" x14ac:dyDescent="0.35">
      <c r="A10" s="14" t="s">
        <v>65</v>
      </c>
      <c r="B10" s="15"/>
      <c r="C10" s="33"/>
      <c r="D10" s="31"/>
      <c r="E10" s="17"/>
      <c r="F10" s="17"/>
      <c r="G10" s="16"/>
      <c r="H10" s="16"/>
      <c r="I10" s="16"/>
      <c r="J10" s="18"/>
    </row>
    <row r="11" spans="1:10" x14ac:dyDescent="0.35">
      <c r="A11" s="19" t="s">
        <v>66</v>
      </c>
      <c r="B11" s="15">
        <v>25000</v>
      </c>
      <c r="C11" s="34"/>
      <c r="D11" s="31">
        <v>21000</v>
      </c>
      <c r="E11" s="17">
        <v>2500</v>
      </c>
      <c r="F11" s="17">
        <v>21000</v>
      </c>
      <c r="G11" s="16">
        <v>14886</v>
      </c>
      <c r="H11" s="16">
        <v>19161</v>
      </c>
      <c r="I11" s="16">
        <v>17842</v>
      </c>
      <c r="J11" s="18" t="s">
        <v>107</v>
      </c>
    </row>
    <row r="12" spans="1:10" x14ac:dyDescent="0.35">
      <c r="A12" s="19" t="s">
        <v>67</v>
      </c>
      <c r="B12" s="15">
        <f>0.22*B11</f>
        <v>5500</v>
      </c>
      <c r="C12" s="31">
        <f>0.22*C11</f>
        <v>0</v>
      </c>
      <c r="D12" s="31">
        <f>0.22*D11</f>
        <v>4620</v>
      </c>
      <c r="E12" s="17">
        <f>0.22*E11</f>
        <v>550</v>
      </c>
      <c r="F12" s="17">
        <v>4620</v>
      </c>
      <c r="G12" s="16">
        <v>3274.92</v>
      </c>
      <c r="H12" s="16">
        <v>4215.42</v>
      </c>
      <c r="I12" s="16">
        <v>4010.85</v>
      </c>
      <c r="J12" s="20" t="s">
        <v>68</v>
      </c>
    </row>
    <row r="13" spans="1:10" ht="15" thickBot="1" x14ac:dyDescent="0.4">
      <c r="A13" s="19" t="s">
        <v>69</v>
      </c>
      <c r="B13" s="26">
        <f>0.075*(B11+B12)</f>
        <v>2287.5</v>
      </c>
      <c r="C13" s="32">
        <f>0.075*(C11+C12)</f>
        <v>0</v>
      </c>
      <c r="D13" s="32">
        <f>0.075*(D11+D12)</f>
        <v>1921.5</v>
      </c>
      <c r="E13" s="28">
        <f>0.075*(E11+E12)</f>
        <v>228.75</v>
      </c>
      <c r="F13" s="28">
        <v>2049.6</v>
      </c>
      <c r="G13" s="27">
        <v>1452.87</v>
      </c>
      <c r="H13" s="27">
        <v>1870.11</v>
      </c>
      <c r="I13" s="27">
        <v>1723.93</v>
      </c>
      <c r="J13" s="21">
        <v>7.7499999999999999E-2</v>
      </c>
    </row>
    <row r="14" spans="1:10" ht="15.5" x14ac:dyDescent="0.35">
      <c r="A14" s="22" t="s">
        <v>70</v>
      </c>
      <c r="B14" s="10">
        <f>SUM(B11:B13)</f>
        <v>32787.5</v>
      </c>
      <c r="C14" s="30">
        <f>SUM(C11:C13)</f>
        <v>0</v>
      </c>
      <c r="D14" s="30">
        <f>SUM(D11:D13)</f>
        <v>27541.5</v>
      </c>
      <c r="E14" s="12">
        <f>SUM(E11:E13)</f>
        <v>3278.75</v>
      </c>
      <c r="F14" s="12">
        <v>27669.599999999999</v>
      </c>
      <c r="G14" s="11">
        <v>19613.79</v>
      </c>
      <c r="H14" s="11">
        <v>25246.53</v>
      </c>
      <c r="I14" s="11">
        <v>23576.78</v>
      </c>
      <c r="J14" s="18"/>
    </row>
    <row r="15" spans="1:10" x14ac:dyDescent="0.35">
      <c r="A15" s="14" t="s">
        <v>71</v>
      </c>
      <c r="B15" s="15">
        <v>1000</v>
      </c>
      <c r="C15" s="31"/>
      <c r="D15" s="31">
        <v>750</v>
      </c>
      <c r="E15" s="17"/>
      <c r="F15" s="17">
        <v>750</v>
      </c>
      <c r="G15" s="16">
        <v>550</v>
      </c>
      <c r="H15" s="16">
        <v>700.38</v>
      </c>
      <c r="I15" s="16">
        <v>673.44</v>
      </c>
      <c r="J15" s="18" t="s">
        <v>72</v>
      </c>
    </row>
    <row r="16" spans="1:10" x14ac:dyDescent="0.35">
      <c r="A16" s="14" t="s">
        <v>73</v>
      </c>
      <c r="B16" s="15">
        <v>10000</v>
      </c>
      <c r="C16" s="31"/>
      <c r="D16" s="31">
        <v>9000</v>
      </c>
      <c r="E16" s="17">
        <v>0</v>
      </c>
      <c r="F16" s="17">
        <v>9000</v>
      </c>
      <c r="G16" s="16">
        <v>8170</v>
      </c>
      <c r="H16" s="16">
        <v>9597.5499999999993</v>
      </c>
      <c r="I16" s="16">
        <v>9286.69</v>
      </c>
      <c r="J16" s="18"/>
    </row>
    <row r="17" spans="1:10" x14ac:dyDescent="0.35">
      <c r="A17" s="14" t="s">
        <v>74</v>
      </c>
      <c r="B17" s="15">
        <v>2400</v>
      </c>
      <c r="C17" s="31"/>
      <c r="D17" s="31">
        <v>1500</v>
      </c>
      <c r="E17" s="17">
        <v>0</v>
      </c>
      <c r="F17" s="17">
        <v>1500</v>
      </c>
      <c r="G17" s="16">
        <v>985</v>
      </c>
      <c r="H17" s="16">
        <v>800</v>
      </c>
      <c r="I17" s="16">
        <v>960</v>
      </c>
      <c r="J17" s="18" t="s">
        <v>94</v>
      </c>
    </row>
    <row r="18" spans="1:10" ht="42" customHeight="1" x14ac:dyDescent="0.35">
      <c r="A18" s="14" t="s">
        <v>75</v>
      </c>
      <c r="B18" s="15"/>
      <c r="C18" s="31"/>
      <c r="D18" s="31" t="s">
        <v>93</v>
      </c>
      <c r="E18" s="17">
        <v>0</v>
      </c>
      <c r="F18" s="17" t="s">
        <v>93</v>
      </c>
      <c r="G18" s="16" t="s">
        <v>93</v>
      </c>
      <c r="H18" s="16">
        <v>1000</v>
      </c>
      <c r="I18" s="16">
        <v>600</v>
      </c>
      <c r="J18" s="18" t="s">
        <v>76</v>
      </c>
    </row>
    <row r="19" spans="1:10" ht="32.25" customHeight="1" x14ac:dyDescent="0.35">
      <c r="A19" s="14" t="s">
        <v>77</v>
      </c>
      <c r="B19" s="15">
        <v>0</v>
      </c>
      <c r="C19" s="31">
        <v>0</v>
      </c>
      <c r="D19" s="31" t="s">
        <v>93</v>
      </c>
      <c r="E19" s="17">
        <v>0</v>
      </c>
      <c r="F19" s="17" t="s">
        <v>93</v>
      </c>
      <c r="G19" s="16" t="s">
        <v>93</v>
      </c>
      <c r="H19" s="16" t="s">
        <v>93</v>
      </c>
      <c r="I19" s="16" t="s">
        <v>93</v>
      </c>
      <c r="J19" s="18" t="s">
        <v>78</v>
      </c>
    </row>
    <row r="20" spans="1:10" x14ac:dyDescent="0.35">
      <c r="A20" s="14" t="s">
        <v>79</v>
      </c>
      <c r="B20" s="15">
        <v>2500</v>
      </c>
      <c r="C20" s="31"/>
      <c r="D20" s="31">
        <v>2500</v>
      </c>
      <c r="E20" s="17">
        <v>0</v>
      </c>
      <c r="F20" s="17">
        <v>2500</v>
      </c>
      <c r="G20" s="16">
        <v>2179</v>
      </c>
      <c r="H20" s="16">
        <v>2477.33</v>
      </c>
      <c r="I20" s="16">
        <v>2318.7800000000002</v>
      </c>
      <c r="J20" s="18" t="s">
        <v>80</v>
      </c>
    </row>
    <row r="21" spans="1:10" x14ac:dyDescent="0.35">
      <c r="A21" s="14" t="s">
        <v>81</v>
      </c>
      <c r="B21" s="15">
        <v>5000</v>
      </c>
      <c r="C21" s="31">
        <v>6000</v>
      </c>
      <c r="D21" s="31">
        <v>6000</v>
      </c>
      <c r="E21" s="36">
        <v>3000</v>
      </c>
      <c r="F21" s="17">
        <v>3000</v>
      </c>
      <c r="G21" s="16">
        <v>2650</v>
      </c>
      <c r="H21" s="16">
        <v>10616.31</v>
      </c>
      <c r="I21" s="16">
        <v>8830.52</v>
      </c>
      <c r="J21" s="18"/>
    </row>
    <row r="22" spans="1:10" x14ac:dyDescent="0.35">
      <c r="A22" s="14" t="s">
        <v>100</v>
      </c>
      <c r="B22" s="15">
        <v>1000</v>
      </c>
      <c r="C22" s="31"/>
      <c r="D22" s="31"/>
      <c r="E22" s="36">
        <v>0</v>
      </c>
      <c r="F22" s="17">
        <v>1000</v>
      </c>
      <c r="G22" s="16">
        <v>1000</v>
      </c>
      <c r="H22" s="16">
        <v>1000</v>
      </c>
      <c r="I22" s="16">
        <v>1000</v>
      </c>
      <c r="J22" s="18"/>
    </row>
    <row r="23" spans="1:10" x14ac:dyDescent="0.35">
      <c r="A23" s="14" t="s">
        <v>82</v>
      </c>
      <c r="B23" s="15" t="s">
        <v>93</v>
      </c>
      <c r="C23" s="31"/>
      <c r="D23" s="31" t="s">
        <v>93</v>
      </c>
      <c r="E23" s="17"/>
      <c r="F23" s="17" t="s">
        <v>93</v>
      </c>
      <c r="G23" s="16" t="s">
        <v>93</v>
      </c>
      <c r="H23" s="16">
        <v>20000</v>
      </c>
      <c r="I23" s="16">
        <v>5000</v>
      </c>
      <c r="J23" s="35" t="s">
        <v>101</v>
      </c>
    </row>
    <row r="24" spans="1:10" x14ac:dyDescent="0.35">
      <c r="A24" s="14" t="s">
        <v>102</v>
      </c>
      <c r="B24" s="15">
        <v>1000</v>
      </c>
      <c r="C24" s="31"/>
      <c r="D24" s="31">
        <v>800</v>
      </c>
      <c r="E24" s="17"/>
      <c r="F24" s="17">
        <v>800</v>
      </c>
      <c r="G24" s="16">
        <v>753.48</v>
      </c>
      <c r="H24" s="16">
        <v>3733.6</v>
      </c>
      <c r="I24" s="16" t="s">
        <v>93</v>
      </c>
    </row>
    <row r="25" spans="1:10" x14ac:dyDescent="0.35">
      <c r="A25" s="14" t="s">
        <v>83</v>
      </c>
      <c r="B25" s="15"/>
      <c r="C25" s="31"/>
      <c r="D25" s="31"/>
      <c r="E25" s="17"/>
      <c r="F25" s="17"/>
      <c r="G25" s="16"/>
      <c r="H25" s="16"/>
      <c r="I25" s="16"/>
      <c r="J25" s="18"/>
    </row>
    <row r="26" spans="1:10" ht="29" x14ac:dyDescent="0.35">
      <c r="A26" s="19" t="s">
        <v>84</v>
      </c>
      <c r="B26" s="15" t="s">
        <v>93</v>
      </c>
      <c r="C26" s="31"/>
      <c r="D26" s="31" t="s">
        <v>93</v>
      </c>
      <c r="E26" s="17" t="s">
        <v>93</v>
      </c>
      <c r="F26" s="17" t="s">
        <v>93</v>
      </c>
      <c r="G26" s="16" t="s">
        <v>93</v>
      </c>
      <c r="H26" s="16">
        <v>176.13</v>
      </c>
      <c r="I26" s="16">
        <v>238</v>
      </c>
      <c r="J26" s="18" t="s">
        <v>99</v>
      </c>
    </row>
    <row r="27" spans="1:10" ht="29" x14ac:dyDescent="0.35">
      <c r="A27" s="19" t="s">
        <v>85</v>
      </c>
      <c r="B27" s="15" t="s">
        <v>93</v>
      </c>
      <c r="C27" s="31"/>
      <c r="D27" s="31" t="s">
        <v>93</v>
      </c>
      <c r="E27" s="17" t="s">
        <v>93</v>
      </c>
      <c r="F27" s="17" t="s">
        <v>93</v>
      </c>
      <c r="G27" s="16" t="s">
        <v>93</v>
      </c>
      <c r="H27" s="16">
        <v>118.74</v>
      </c>
      <c r="I27" s="16">
        <v>400</v>
      </c>
      <c r="J27" s="18" t="s">
        <v>99</v>
      </c>
    </row>
    <row r="28" spans="1:10" ht="29" x14ac:dyDescent="0.35">
      <c r="A28" s="14" t="s">
        <v>86</v>
      </c>
      <c r="B28" s="15">
        <v>2000</v>
      </c>
      <c r="C28" s="31"/>
      <c r="D28" s="31">
        <v>2000</v>
      </c>
      <c r="E28" s="17" t="s">
        <v>93</v>
      </c>
      <c r="F28" s="17" t="s">
        <v>93</v>
      </c>
      <c r="G28" s="16" t="s">
        <v>93</v>
      </c>
      <c r="H28" s="16">
        <v>1500</v>
      </c>
      <c r="I28" s="16" t="s">
        <v>93</v>
      </c>
      <c r="J28" s="18" t="s">
        <v>87</v>
      </c>
    </row>
    <row r="29" spans="1:10" x14ac:dyDescent="0.35">
      <c r="A29" s="14" t="s">
        <v>88</v>
      </c>
      <c r="B29" s="15">
        <v>1000</v>
      </c>
      <c r="C29" s="31"/>
      <c r="D29" s="31">
        <v>1000</v>
      </c>
      <c r="E29" s="17">
        <v>0</v>
      </c>
      <c r="F29" s="17">
        <v>1000</v>
      </c>
      <c r="G29" s="16">
        <v>810</v>
      </c>
      <c r="H29" s="16">
        <v>740</v>
      </c>
      <c r="I29" s="16">
        <v>285.23</v>
      </c>
      <c r="J29" s="18" t="s">
        <v>89</v>
      </c>
    </row>
    <row r="30" spans="1:10" ht="29.5" thickBot="1" x14ac:dyDescent="0.4">
      <c r="A30" s="14" t="s">
        <v>90</v>
      </c>
      <c r="B30" s="26"/>
      <c r="C30" s="32"/>
      <c r="D30" s="32">
        <v>500</v>
      </c>
      <c r="E30" s="37">
        <v>1622.53</v>
      </c>
      <c r="F30" s="28">
        <v>2000</v>
      </c>
      <c r="G30" s="27">
        <v>687</v>
      </c>
      <c r="H30" s="27">
        <v>1345.31</v>
      </c>
      <c r="I30" s="27">
        <v>1621.48</v>
      </c>
      <c r="J30" s="18" t="s">
        <v>108</v>
      </c>
    </row>
    <row r="31" spans="1:10" ht="15.5" x14ac:dyDescent="0.35">
      <c r="A31" s="9" t="s">
        <v>91</v>
      </c>
      <c r="B31" s="10">
        <f>SUM(B14:B30)</f>
        <v>58687.5</v>
      </c>
      <c r="C31" s="30">
        <f>SUM(C14:C30)</f>
        <v>6000</v>
      </c>
      <c r="D31" s="30">
        <f>SUM(D14:D30)</f>
        <v>51591.5</v>
      </c>
      <c r="E31" s="12">
        <v>4622.53</v>
      </c>
      <c r="F31" s="12">
        <v>48219.6</v>
      </c>
      <c r="G31" s="11">
        <v>36398.269999999997</v>
      </c>
      <c r="H31" s="11">
        <v>78051.88</v>
      </c>
      <c r="I31" s="11">
        <v>53790.92</v>
      </c>
      <c r="J31" s="24"/>
    </row>
    <row r="32" spans="1:10" x14ac:dyDescent="0.35">
      <c r="A32" s="14"/>
      <c r="B32" s="15"/>
      <c r="C32" s="33"/>
      <c r="D32" s="31"/>
      <c r="E32" s="17"/>
      <c r="F32" s="17"/>
      <c r="G32" s="16"/>
      <c r="H32" s="16"/>
      <c r="I32" s="16"/>
      <c r="J32" s="18"/>
    </row>
    <row r="33" spans="1:10" ht="15.5" x14ac:dyDescent="0.35">
      <c r="A33" s="9" t="s">
        <v>92</v>
      </c>
      <c r="B33" s="10">
        <f t="shared" ref="B33:I33" si="0">B7-B31</f>
        <v>7312.5</v>
      </c>
      <c r="C33" s="30">
        <f t="shared" si="0"/>
        <v>13000</v>
      </c>
      <c r="D33" s="30">
        <f t="shared" si="0"/>
        <v>9408.5</v>
      </c>
      <c r="E33" s="12">
        <f t="shared" si="0"/>
        <v>3903.4700000000003</v>
      </c>
      <c r="F33" s="12">
        <f t="shared" si="0"/>
        <v>12780.400000000001</v>
      </c>
      <c r="G33" s="23">
        <f t="shared" si="0"/>
        <v>-4492.2699999999968</v>
      </c>
      <c r="H33" s="23">
        <f t="shared" si="0"/>
        <v>-41970.880000000005</v>
      </c>
      <c r="I33" s="23">
        <f t="shared" si="0"/>
        <v>-19127.71</v>
      </c>
      <c r="J33" s="25"/>
    </row>
  </sheetData>
  <mergeCells count="1">
    <mergeCell ref="A1:J1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8"/>
  <sheetViews>
    <sheetView topLeftCell="A20" workbookViewId="0">
      <selection activeCell="T10" sqref="T10"/>
    </sheetView>
  </sheetViews>
  <sheetFormatPr defaultColWidth="10.81640625" defaultRowHeight="15.5" x14ac:dyDescent="0.35"/>
  <cols>
    <col min="1" max="1" width="3.36328125" style="140" customWidth="1"/>
    <col min="2" max="2" width="25.6328125" style="140" customWidth="1"/>
    <col min="3" max="3" width="11.453125" style="140" customWidth="1"/>
    <col min="4" max="4" width="8.81640625" style="133" customWidth="1"/>
    <col min="5" max="5" width="15.6328125" style="140" customWidth="1"/>
    <col min="6" max="6" width="10.81640625" style="140" customWidth="1"/>
    <col min="7" max="7" width="11.36328125" style="140" customWidth="1"/>
    <col min="8" max="8" width="13.453125" style="136" customWidth="1"/>
    <col min="9" max="9" width="11" style="154" hidden="1" customWidth="1"/>
    <col min="10" max="10" width="23.6328125" style="154" hidden="1" customWidth="1"/>
    <col min="11" max="11" width="12.81640625" style="154" hidden="1" customWidth="1"/>
    <col min="12" max="12" width="11" style="154" hidden="1" customWidth="1"/>
    <col min="13" max="13" width="0" style="154" hidden="1" customWidth="1"/>
    <col min="14" max="14" width="12.81640625" style="155" hidden="1" customWidth="1"/>
    <col min="15" max="15" width="13.6328125" style="154" hidden="1" customWidth="1"/>
    <col min="16" max="18" width="0" style="154" hidden="1" customWidth="1"/>
    <col min="19" max="16384" width="10.81640625" style="140"/>
  </cols>
  <sheetData>
    <row r="1" spans="1:15" s="140" customFormat="1" hidden="1" x14ac:dyDescent="0.35">
      <c r="A1" s="149"/>
      <c r="B1" s="149" t="s">
        <v>247</v>
      </c>
      <c r="C1" s="149"/>
      <c r="D1" s="150"/>
      <c r="E1" s="149"/>
      <c r="F1" s="149"/>
      <c r="G1" s="151"/>
      <c r="I1" s="152" t="s">
        <v>248</v>
      </c>
      <c r="J1" s="153"/>
      <c r="K1" s="153"/>
      <c r="L1" s="153"/>
      <c r="M1" s="154"/>
      <c r="N1" s="155"/>
      <c r="O1" s="154"/>
    </row>
    <row r="2" spans="1:15" s="140" customFormat="1" x14ac:dyDescent="0.35">
      <c r="D2" s="133"/>
      <c r="G2" s="136"/>
      <c r="I2" s="154"/>
      <c r="J2" s="154"/>
      <c r="K2" s="154"/>
      <c r="L2" s="154"/>
      <c r="M2" s="154"/>
      <c r="N2" s="155" t="s">
        <v>249</v>
      </c>
      <c r="O2" s="154"/>
    </row>
    <row r="3" spans="1:15" s="140" customFormat="1" x14ac:dyDescent="0.35">
      <c r="B3" s="466" t="s">
        <v>194</v>
      </c>
      <c r="C3" s="466"/>
      <c r="D3" s="466"/>
      <c r="E3" s="466"/>
      <c r="F3" s="466"/>
      <c r="G3" s="466"/>
      <c r="H3" s="466"/>
      <c r="I3" s="154"/>
      <c r="J3" s="154" t="s">
        <v>250</v>
      </c>
      <c r="K3" s="154"/>
      <c r="L3" s="154"/>
      <c r="M3" s="154"/>
      <c r="N3" s="155"/>
      <c r="O3" s="154"/>
    </row>
    <row r="4" spans="1:15" s="140" customFormat="1" x14ac:dyDescent="0.35">
      <c r="B4" s="467" t="s">
        <v>195</v>
      </c>
      <c r="C4" s="467"/>
      <c r="D4" s="467"/>
      <c r="E4" s="467"/>
      <c r="F4" s="467"/>
      <c r="G4" s="467"/>
      <c r="H4" s="467"/>
      <c r="I4" s="154"/>
      <c r="J4" s="154" t="s">
        <v>251</v>
      </c>
      <c r="K4" s="154"/>
      <c r="L4" s="154"/>
      <c r="M4" s="154"/>
      <c r="N4" s="155"/>
      <c r="O4" s="154"/>
    </row>
    <row r="5" spans="1:15" s="140" customFormat="1" x14ac:dyDescent="0.35">
      <c r="B5" s="97"/>
      <c r="C5" s="97"/>
      <c r="D5" s="97"/>
      <c r="E5" s="97"/>
      <c r="F5" s="97"/>
      <c r="G5" s="97"/>
      <c r="H5" s="97"/>
      <c r="I5" s="154"/>
      <c r="J5" s="154" t="s">
        <v>252</v>
      </c>
      <c r="K5" s="154"/>
      <c r="L5" s="154"/>
      <c r="M5" s="154"/>
      <c r="N5" s="155"/>
      <c r="O5" s="154"/>
    </row>
    <row r="6" spans="1:15" s="140" customFormat="1" ht="62" x14ac:dyDescent="0.35">
      <c r="B6" s="98" t="s">
        <v>196</v>
      </c>
      <c r="C6" s="98" t="s">
        <v>197</v>
      </c>
      <c r="D6" s="99" t="s">
        <v>198</v>
      </c>
      <c r="E6" s="100" t="s">
        <v>199</v>
      </c>
      <c r="F6" s="100" t="s">
        <v>200</v>
      </c>
      <c r="G6" s="100" t="s">
        <v>201</v>
      </c>
      <c r="H6" s="101" t="s">
        <v>202</v>
      </c>
      <c r="I6" s="155"/>
      <c r="J6" s="156" t="s">
        <v>253</v>
      </c>
      <c r="K6" s="156"/>
      <c r="L6" s="154"/>
      <c r="M6" s="154"/>
      <c r="N6" s="157" t="s">
        <v>254</v>
      </c>
      <c r="O6" s="154" t="s">
        <v>255</v>
      </c>
    </row>
    <row r="7" spans="1:15" s="140" customFormat="1" x14ac:dyDescent="0.35">
      <c r="A7" s="158">
        <v>1</v>
      </c>
      <c r="B7" s="102" t="s">
        <v>203</v>
      </c>
      <c r="C7" s="103">
        <v>50782</v>
      </c>
      <c r="D7" s="104">
        <f>C7/$C$48</f>
        <v>1.6760798043968461E-2</v>
      </c>
      <c r="E7" s="105">
        <f>SUM(D7*H$56)</f>
        <v>2274.2151431515608</v>
      </c>
      <c r="F7" s="106">
        <f>H$55/34</f>
        <v>1995.3903886962353</v>
      </c>
      <c r="G7" s="107"/>
      <c r="H7" s="108">
        <f>SUM(E7+F7)</f>
        <v>4269.6055318477956</v>
      </c>
      <c r="I7" s="159" t="b">
        <f t="shared" ref="I7:I40" si="0">J7=B7</f>
        <v>1</v>
      </c>
      <c r="J7" s="160" t="s">
        <v>203</v>
      </c>
      <c r="K7" s="161">
        <v>50782</v>
      </c>
      <c r="L7" s="162">
        <f t="shared" ref="L7:L40" si="1">C7-K7</f>
        <v>0</v>
      </c>
      <c r="M7" s="154"/>
      <c r="N7" s="163">
        <v>4416.0402846009529</v>
      </c>
      <c r="O7" s="164">
        <v>4396.335467946572</v>
      </c>
    </row>
    <row r="8" spans="1:15" s="140" customFormat="1" x14ac:dyDescent="0.35">
      <c r="A8" s="165">
        <v>2</v>
      </c>
      <c r="B8" s="109" t="s">
        <v>204</v>
      </c>
      <c r="C8" s="110">
        <v>341245</v>
      </c>
      <c r="D8" s="111">
        <f t="shared" ref="D8:D40" si="2">C8/$C$48</f>
        <v>0.11262924911413529</v>
      </c>
      <c r="E8" s="105">
        <f>SUM(D8*H$56)</f>
        <v>15282.276131793833</v>
      </c>
      <c r="F8" s="112">
        <f t="shared" ref="F8:F40" si="3">H$55/34</f>
        <v>1995.3903886962353</v>
      </c>
      <c r="G8" s="113"/>
      <c r="H8" s="114">
        <f t="shared" ref="H8:H40" si="4">SUM(E8+F8)</f>
        <v>17277.666520490067</v>
      </c>
      <c r="I8" s="159" t="b">
        <f t="shared" si="0"/>
        <v>1</v>
      </c>
      <c r="J8" s="160" t="s">
        <v>204</v>
      </c>
      <c r="K8" s="161">
        <v>341245</v>
      </c>
      <c r="L8" s="162">
        <f t="shared" si="1"/>
        <v>0</v>
      </c>
      <c r="M8" s="154"/>
      <c r="N8" s="166">
        <v>18634.203386300542</v>
      </c>
      <c r="O8" s="167">
        <v>18596.874715112936</v>
      </c>
    </row>
    <row r="9" spans="1:15" s="140" customFormat="1" x14ac:dyDescent="0.35">
      <c r="A9" s="165">
        <v>3</v>
      </c>
      <c r="B9" s="109" t="s">
        <v>205</v>
      </c>
      <c r="C9" s="110">
        <v>46872</v>
      </c>
      <c r="D9" s="111">
        <f t="shared" si="2"/>
        <v>1.547028722612126E-2</v>
      </c>
      <c r="E9" s="105">
        <f t="shared" ref="E9:E39" si="5">SUM(D9*H$56)</f>
        <v>2099.1101608798385</v>
      </c>
      <c r="F9" s="112">
        <f t="shared" si="3"/>
        <v>1995.3903886962353</v>
      </c>
      <c r="G9" s="113"/>
      <c r="H9" s="115">
        <f>SUM(E9+F9)</f>
        <v>4094.5005495760738</v>
      </c>
      <c r="I9" s="159" t="b">
        <f t="shared" si="0"/>
        <v>1</v>
      </c>
      <c r="J9" s="160" t="s">
        <v>205</v>
      </c>
      <c r="K9" s="161">
        <v>46872</v>
      </c>
      <c r="L9" s="162">
        <f t="shared" si="1"/>
        <v>0</v>
      </c>
      <c r="M9" s="154"/>
      <c r="N9" s="168">
        <v>4197.0940111539576</v>
      </c>
      <c r="O9" s="167">
        <v>4192.3027396742746</v>
      </c>
    </row>
    <row r="10" spans="1:15" s="140" customFormat="1" x14ac:dyDescent="0.35">
      <c r="A10" s="165">
        <v>4</v>
      </c>
      <c r="B10" s="109" t="s">
        <v>206</v>
      </c>
      <c r="C10" s="110">
        <v>83430</v>
      </c>
      <c r="D10" s="111">
        <f t="shared" si="2"/>
        <v>2.7536398346033809E-2</v>
      </c>
      <c r="E10" s="105">
        <f>SUM(D10*H$56)</f>
        <v>3736.3193531789752</v>
      </c>
      <c r="F10" s="112">
        <f t="shared" si="3"/>
        <v>1995.3903886962353</v>
      </c>
      <c r="G10" s="113"/>
      <c r="H10" s="114">
        <f t="shared" si="4"/>
        <v>5731.709741875211</v>
      </c>
      <c r="I10" s="159" t="b">
        <f t="shared" si="0"/>
        <v>1</v>
      </c>
      <c r="J10" s="160" t="s">
        <v>206</v>
      </c>
      <c r="K10" s="161">
        <v>83430</v>
      </c>
      <c r="L10" s="162">
        <f t="shared" si="1"/>
        <v>0</v>
      </c>
      <c r="M10" s="154"/>
      <c r="N10" s="166">
        <v>5905.6334833112287</v>
      </c>
      <c r="O10" s="167">
        <v>5873.04255723603</v>
      </c>
    </row>
    <row r="11" spans="1:15" s="140" customFormat="1" x14ac:dyDescent="0.35">
      <c r="A11" s="165">
        <v>5</v>
      </c>
      <c r="B11" s="109" t="s">
        <v>207</v>
      </c>
      <c r="C11" s="110">
        <v>111394</v>
      </c>
      <c r="D11" s="111">
        <f t="shared" si="2"/>
        <v>3.6766026098023374E-2</v>
      </c>
      <c r="E11" s="105">
        <f t="shared" si="5"/>
        <v>4988.655855543795</v>
      </c>
      <c r="F11" s="112">
        <f t="shared" si="3"/>
        <v>1995.3903886962353</v>
      </c>
      <c r="G11" s="113"/>
      <c r="H11" s="114">
        <f t="shared" si="4"/>
        <v>6984.0462442400303</v>
      </c>
      <c r="I11" s="159" t="b">
        <f t="shared" si="0"/>
        <v>1</v>
      </c>
      <c r="J11" s="160" t="s">
        <v>207</v>
      </c>
      <c r="K11" s="161">
        <v>111394</v>
      </c>
      <c r="L11" s="162">
        <f t="shared" si="1"/>
        <v>0</v>
      </c>
      <c r="M11" s="154"/>
      <c r="N11" s="166">
        <v>7364.3700536635988</v>
      </c>
      <c r="O11" s="167">
        <v>7387.9220210561607</v>
      </c>
    </row>
    <row r="12" spans="1:15" s="140" customFormat="1" x14ac:dyDescent="0.35">
      <c r="A12" s="165">
        <v>6</v>
      </c>
      <c r="B12" s="109" t="s">
        <v>208</v>
      </c>
      <c r="C12" s="110">
        <v>49810</v>
      </c>
      <c r="D12" s="111">
        <f t="shared" si="2"/>
        <v>1.6439985636053506E-2</v>
      </c>
      <c r="E12" s="105">
        <f t="shared" si="5"/>
        <v>2230.6852089397671</v>
      </c>
      <c r="F12" s="112">
        <f t="shared" si="3"/>
        <v>1995.3903886962353</v>
      </c>
      <c r="G12" s="113"/>
      <c r="H12" s="114">
        <f t="shared" si="4"/>
        <v>4226.0755976360024</v>
      </c>
      <c r="I12" s="159" t="b">
        <f t="shared" si="0"/>
        <v>1</v>
      </c>
      <c r="J12" s="160" t="s">
        <v>208</v>
      </c>
      <c r="K12" s="161">
        <v>49810</v>
      </c>
      <c r="L12" s="162">
        <f t="shared" si="1"/>
        <v>0</v>
      </c>
      <c r="M12" s="154"/>
      <c r="N12" s="166">
        <v>4356.0126707089403</v>
      </c>
      <c r="O12" s="167">
        <v>4360.6586239542248</v>
      </c>
    </row>
    <row r="13" spans="1:15" s="140" customFormat="1" x14ac:dyDescent="0.35">
      <c r="A13" s="165">
        <v>7</v>
      </c>
      <c r="B13" s="109" t="s">
        <v>209</v>
      </c>
      <c r="C13" s="110">
        <v>32943</v>
      </c>
      <c r="D13" s="111">
        <f t="shared" si="2"/>
        <v>1.08729662077597E-2</v>
      </c>
      <c r="E13" s="105">
        <f t="shared" si="5"/>
        <v>1475.3154554929279</v>
      </c>
      <c r="F13" s="112">
        <f t="shared" si="3"/>
        <v>1995.3903886962353</v>
      </c>
      <c r="G13" s="113"/>
      <c r="H13" s="114">
        <f t="shared" si="4"/>
        <v>3470.7058441891631</v>
      </c>
      <c r="I13" s="159" t="b">
        <f t="shared" si="0"/>
        <v>1</v>
      </c>
      <c r="J13" s="160" t="s">
        <v>209</v>
      </c>
      <c r="K13" s="161">
        <v>32943</v>
      </c>
      <c r="L13" s="162">
        <f t="shared" si="1"/>
        <v>0</v>
      </c>
      <c r="M13" s="154"/>
      <c r="N13" s="166">
        <v>3637.6478872992316</v>
      </c>
      <c r="O13" s="167">
        <v>3615.4192635648583</v>
      </c>
    </row>
    <row r="14" spans="1:15" s="140" customFormat="1" x14ac:dyDescent="0.35">
      <c r="A14" s="165">
        <v>8</v>
      </c>
      <c r="B14" s="109" t="s">
        <v>210</v>
      </c>
      <c r="C14" s="110">
        <v>56564</v>
      </c>
      <c r="D14" s="111">
        <f t="shared" si="2"/>
        <v>1.8669169795577804E-2</v>
      </c>
      <c r="E14" s="105">
        <f t="shared" si="5"/>
        <v>2533.1555542756269</v>
      </c>
      <c r="F14" s="112">
        <f t="shared" si="3"/>
        <v>1995.3903886962353</v>
      </c>
      <c r="G14" s="113"/>
      <c r="H14" s="114">
        <f t="shared" si="4"/>
        <v>4528.5459429718621</v>
      </c>
      <c r="I14" s="159" t="b">
        <f t="shared" si="0"/>
        <v>1</v>
      </c>
      <c r="J14" s="160" t="s">
        <v>210</v>
      </c>
      <c r="K14" s="161">
        <v>56564</v>
      </c>
      <c r="L14" s="162">
        <f t="shared" si="1"/>
        <v>0</v>
      </c>
      <c r="M14" s="154"/>
      <c r="N14" s="166">
        <v>4656.7126211102668</v>
      </c>
      <c r="O14" s="167">
        <v>4665.9451931426247</v>
      </c>
    </row>
    <row r="15" spans="1:15" s="140" customFormat="1" x14ac:dyDescent="0.35">
      <c r="A15" s="165">
        <v>9</v>
      </c>
      <c r="B15" s="109" t="s">
        <v>211</v>
      </c>
      <c r="C15" s="110">
        <v>142732</v>
      </c>
      <c r="D15" s="111">
        <f t="shared" si="2"/>
        <v>4.7109255768022266E-2</v>
      </c>
      <c r="E15" s="105">
        <f t="shared" si="5"/>
        <v>6392.093178927742</v>
      </c>
      <c r="F15" s="112">
        <f t="shared" si="3"/>
        <v>1995.3903886962353</v>
      </c>
      <c r="G15" s="113"/>
      <c r="H15" s="114">
        <f t="shared" si="4"/>
        <v>8387.4835676239782</v>
      </c>
      <c r="I15" s="159" t="b">
        <f t="shared" si="0"/>
        <v>1</v>
      </c>
      <c r="J15" s="160" t="s">
        <v>211</v>
      </c>
      <c r="K15" s="161">
        <v>142732</v>
      </c>
      <c r="L15" s="162">
        <f t="shared" si="1"/>
        <v>0</v>
      </c>
      <c r="M15" s="154"/>
      <c r="N15" s="166">
        <v>8612.2608008055722</v>
      </c>
      <c r="O15" s="169">
        <v>8639.6154401399981</v>
      </c>
    </row>
    <row r="16" spans="1:15" s="140" customFormat="1" x14ac:dyDescent="0.35">
      <c r="A16" s="165">
        <v>10</v>
      </c>
      <c r="B16" s="109" t="s">
        <v>212</v>
      </c>
      <c r="C16" s="110">
        <v>170526</v>
      </c>
      <c r="D16" s="111">
        <f t="shared" si="2"/>
        <v>5.6282774354018475E-2</v>
      </c>
      <c r="E16" s="105">
        <f t="shared" si="5"/>
        <v>7636.816421193791</v>
      </c>
      <c r="F16" s="112">
        <f t="shared" si="3"/>
        <v>1995.3903886962353</v>
      </c>
      <c r="G16" s="113"/>
      <c r="H16" s="114">
        <f t="shared" si="4"/>
        <v>9632.2068098900272</v>
      </c>
      <c r="I16" s="159" t="b">
        <f t="shared" si="0"/>
        <v>1</v>
      </c>
      <c r="J16" s="160" t="s">
        <v>212</v>
      </c>
      <c r="K16" s="161">
        <v>170526</v>
      </c>
      <c r="L16" s="162">
        <f t="shared" si="1"/>
        <v>0</v>
      </c>
      <c r="M16" s="154"/>
      <c r="N16" s="166">
        <v>10159.540442819249</v>
      </c>
      <c r="O16" s="167">
        <v>10161.796641461155</v>
      </c>
    </row>
    <row r="17" spans="1:15" s="140" customFormat="1" x14ac:dyDescent="0.35">
      <c r="A17" s="165">
        <v>11</v>
      </c>
      <c r="B17" s="109" t="s">
        <v>213</v>
      </c>
      <c r="C17" s="110">
        <v>196100</v>
      </c>
      <c r="D17" s="111">
        <f t="shared" si="2"/>
        <v>6.4723573242924964E-2</v>
      </c>
      <c r="E17" s="105">
        <f t="shared" si="5"/>
        <v>8782.1194433464825</v>
      </c>
      <c r="F17" s="112">
        <f t="shared" si="3"/>
        <v>1995.3903886962353</v>
      </c>
      <c r="G17" s="113"/>
      <c r="H17" s="114">
        <f t="shared" si="4"/>
        <v>10777.509832042717</v>
      </c>
      <c r="I17" s="159" t="b">
        <f>J17=B17</f>
        <v>1</v>
      </c>
      <c r="J17" s="160" t="s">
        <v>213</v>
      </c>
      <c r="K17" s="161">
        <v>196100</v>
      </c>
      <c r="L17" s="162">
        <f t="shared" si="1"/>
        <v>0</v>
      </c>
      <c r="M17" s="154"/>
      <c r="N17" s="166">
        <v>11301.938043238364</v>
      </c>
      <c r="O17" s="167">
        <v>11385.530875810056</v>
      </c>
    </row>
    <row r="18" spans="1:15" s="140" customFormat="1" x14ac:dyDescent="0.35">
      <c r="A18" s="165">
        <v>12</v>
      </c>
      <c r="B18" s="109" t="s">
        <v>214</v>
      </c>
      <c r="C18" s="110">
        <v>310250</v>
      </c>
      <c r="D18" s="111">
        <f t="shared" si="2"/>
        <v>0.10239922793787593</v>
      </c>
      <c r="E18" s="105">
        <f t="shared" si="5"/>
        <v>13894.199680256226</v>
      </c>
      <c r="F18" s="112">
        <f t="shared" si="3"/>
        <v>1995.3903886962353</v>
      </c>
      <c r="G18" s="113"/>
      <c r="H18" s="114">
        <f t="shared" si="4"/>
        <v>15889.590068952461</v>
      </c>
      <c r="I18" s="159" t="b">
        <f t="shared" si="0"/>
        <v>1</v>
      </c>
      <c r="J18" s="160" t="s">
        <v>214</v>
      </c>
      <c r="K18" s="161">
        <v>310250</v>
      </c>
      <c r="L18" s="162">
        <f t="shared" si="1"/>
        <v>0</v>
      </c>
      <c r="M18" s="154"/>
      <c r="N18" s="166">
        <v>14799.178668506982</v>
      </c>
      <c r="O18" s="167">
        <v>15102.300117945439</v>
      </c>
    </row>
    <row r="19" spans="1:15" s="140" customFormat="1" x14ac:dyDescent="0.35">
      <c r="A19" s="165">
        <v>13</v>
      </c>
      <c r="B19" s="109" t="s">
        <v>215</v>
      </c>
      <c r="C19" s="110">
        <v>22706</v>
      </c>
      <c r="D19" s="111">
        <f t="shared" si="2"/>
        <v>7.4942042532068036E-3</v>
      </c>
      <c r="E19" s="105">
        <f t="shared" si="5"/>
        <v>1016.8628458981399</v>
      </c>
      <c r="F19" s="112">
        <f t="shared" si="3"/>
        <v>1995.3903886962353</v>
      </c>
      <c r="G19" s="113"/>
      <c r="H19" s="114">
        <f t="shared" si="4"/>
        <v>3012.253234594375</v>
      </c>
      <c r="I19" s="159" t="b">
        <f t="shared" si="0"/>
        <v>1</v>
      </c>
      <c r="J19" s="160" t="s">
        <v>215</v>
      </c>
      <c r="K19" s="161">
        <v>22706</v>
      </c>
      <c r="L19" s="162">
        <f t="shared" si="1"/>
        <v>0</v>
      </c>
      <c r="M19" s="154"/>
      <c r="N19" s="166">
        <v>3136.9183218068956</v>
      </c>
      <c r="O19" s="167">
        <v>3116.1745153144352</v>
      </c>
    </row>
    <row r="20" spans="1:15" s="140" customFormat="1" x14ac:dyDescent="0.35">
      <c r="A20" s="165">
        <v>14</v>
      </c>
      <c r="B20" s="109" t="s">
        <v>216</v>
      </c>
      <c r="C20" s="110">
        <v>30750</v>
      </c>
      <c r="D20" s="111">
        <f t="shared" si="2"/>
        <v>1.0149157966445398E-2</v>
      </c>
      <c r="E20" s="105">
        <f t="shared" si="5"/>
        <v>1377.104400218788</v>
      </c>
      <c r="F20" s="112">
        <f t="shared" si="3"/>
        <v>1995.3903886962353</v>
      </c>
      <c r="G20" s="113"/>
      <c r="H20" s="114">
        <f t="shared" si="4"/>
        <v>3372.4947889150235</v>
      </c>
      <c r="I20" s="159" t="b">
        <f t="shared" si="0"/>
        <v>1</v>
      </c>
      <c r="J20" s="160" t="s">
        <v>216</v>
      </c>
      <c r="K20" s="161">
        <v>30750</v>
      </c>
      <c r="L20" s="162">
        <f t="shared" si="1"/>
        <v>0</v>
      </c>
      <c r="M20" s="154"/>
      <c r="N20" s="166">
        <v>3538.5695479891715</v>
      </c>
      <c r="O20" s="167">
        <v>3539.7215039023395</v>
      </c>
    </row>
    <row r="21" spans="1:15" s="140" customFormat="1" x14ac:dyDescent="0.35">
      <c r="A21" s="165">
        <v>15</v>
      </c>
      <c r="B21" s="109" t="s">
        <v>217</v>
      </c>
      <c r="C21" s="110">
        <v>64316</v>
      </c>
      <c r="D21" s="111">
        <f t="shared" si="2"/>
        <v>2.122774776487487E-2</v>
      </c>
      <c r="E21" s="105">
        <f t="shared" si="5"/>
        <v>2880.3202147795632</v>
      </c>
      <c r="F21" s="112">
        <f t="shared" si="3"/>
        <v>1995.3903886962353</v>
      </c>
      <c r="G21" s="113"/>
      <c r="H21" s="114">
        <f t="shared" si="4"/>
        <v>4875.7106034757981</v>
      </c>
      <c r="I21" s="159" t="b">
        <f t="shared" si="0"/>
        <v>1</v>
      </c>
      <c r="J21" s="160" t="s">
        <v>217</v>
      </c>
      <c r="K21" s="161">
        <v>64316</v>
      </c>
      <c r="L21" s="162">
        <f t="shared" si="1"/>
        <v>0</v>
      </c>
      <c r="M21" s="154"/>
      <c r="N21" s="166">
        <v>5135.0137723636999</v>
      </c>
      <c r="O21" s="167">
        <v>5102.1084750076161</v>
      </c>
    </row>
    <row r="22" spans="1:15" s="140" customFormat="1" x14ac:dyDescent="0.35">
      <c r="A22" s="165">
        <v>16</v>
      </c>
      <c r="B22" s="109" t="s">
        <v>218</v>
      </c>
      <c r="C22" s="110">
        <v>17514</v>
      </c>
      <c r="D22" s="111">
        <f t="shared" si="2"/>
        <v>5.7805643129861693E-3</v>
      </c>
      <c r="E22" s="105">
        <f t="shared" si="5"/>
        <v>784.34492570510099</v>
      </c>
      <c r="F22" s="112">
        <f t="shared" si="3"/>
        <v>1995.3903886962353</v>
      </c>
      <c r="G22" s="113"/>
      <c r="H22" s="114">
        <f t="shared" si="4"/>
        <v>2779.7353144013364</v>
      </c>
      <c r="I22" s="159" t="b">
        <f t="shared" si="0"/>
        <v>1</v>
      </c>
      <c r="J22" s="160" t="s">
        <v>218</v>
      </c>
      <c r="K22" s="161">
        <v>17514</v>
      </c>
      <c r="L22" s="162">
        <f t="shared" si="1"/>
        <v>0</v>
      </c>
      <c r="M22" s="154"/>
      <c r="N22" s="166">
        <v>2834.4859051699959</v>
      </c>
      <c r="O22" s="167">
        <v>2834.2719915407074</v>
      </c>
    </row>
    <row r="23" spans="1:15" s="140" customFormat="1" x14ac:dyDescent="0.35">
      <c r="A23" s="165">
        <v>17</v>
      </c>
      <c r="B23" s="109" t="s">
        <v>219</v>
      </c>
      <c r="C23" s="110">
        <v>61792</v>
      </c>
      <c r="D23" s="111">
        <f t="shared" si="2"/>
        <v>2.0394691676832326E-2</v>
      </c>
      <c r="E23" s="105">
        <f t="shared" si="5"/>
        <v>2767.2856942542876</v>
      </c>
      <c r="F23" s="112">
        <f t="shared" si="3"/>
        <v>1995.3903886962353</v>
      </c>
      <c r="G23" s="113"/>
      <c r="H23" s="114">
        <f t="shared" si="4"/>
        <v>4762.6760829505229</v>
      </c>
      <c r="I23" s="159" t="b">
        <f t="shared" si="0"/>
        <v>1</v>
      </c>
      <c r="J23" s="160" t="s">
        <v>219</v>
      </c>
      <c r="K23" s="161">
        <v>61792</v>
      </c>
      <c r="L23" s="162">
        <f t="shared" si="1"/>
        <v>0</v>
      </c>
      <c r="M23" s="154"/>
      <c r="N23" s="166">
        <v>5024.5105205812124</v>
      </c>
      <c r="O23" s="167">
        <v>5012.2231620994353</v>
      </c>
    </row>
    <row r="24" spans="1:15" s="140" customFormat="1" x14ac:dyDescent="0.35">
      <c r="A24" s="165">
        <v>18</v>
      </c>
      <c r="B24" s="109" t="s">
        <v>220</v>
      </c>
      <c r="C24" s="110">
        <v>86775</v>
      </c>
      <c r="D24" s="111">
        <f t="shared" si="2"/>
        <v>2.8640428700432503E-2</v>
      </c>
      <c r="E24" s="105">
        <f t="shared" si="5"/>
        <v>3886.121441593019</v>
      </c>
      <c r="F24" s="112">
        <f t="shared" si="3"/>
        <v>1995.3903886962353</v>
      </c>
      <c r="G24" s="113"/>
      <c r="H24" s="114">
        <f t="shared" si="4"/>
        <v>5881.5118302892542</v>
      </c>
      <c r="I24" s="159" t="b">
        <f t="shared" si="0"/>
        <v>1</v>
      </c>
      <c r="J24" s="160" t="s">
        <v>220</v>
      </c>
      <c r="K24" s="161">
        <v>86775</v>
      </c>
      <c r="L24" s="162">
        <f t="shared" si="1"/>
        <v>0</v>
      </c>
      <c r="M24" s="154"/>
      <c r="N24" s="166">
        <v>6041.9832583919924</v>
      </c>
      <c r="O24" s="167">
        <v>5998.4198600226073</v>
      </c>
    </row>
    <row r="25" spans="1:15" s="140" customFormat="1" x14ac:dyDescent="0.35">
      <c r="A25" s="165">
        <v>19</v>
      </c>
      <c r="B25" s="109" t="s">
        <v>221</v>
      </c>
      <c r="C25" s="110">
        <v>15332</v>
      </c>
      <c r="D25" s="111">
        <f t="shared" si="2"/>
        <v>5.060386664765556E-3</v>
      </c>
      <c r="E25" s="105">
        <f t="shared" si="5"/>
        <v>686.62649314323437</v>
      </c>
      <c r="F25" s="112">
        <f t="shared" si="3"/>
        <v>1995.3903886962353</v>
      </c>
      <c r="G25" s="113"/>
      <c r="H25" s="114">
        <f t="shared" si="4"/>
        <v>2682.0168818394695</v>
      </c>
      <c r="I25" s="159" t="b">
        <f t="shared" si="0"/>
        <v>1</v>
      </c>
      <c r="J25" s="160" t="s">
        <v>221</v>
      </c>
      <c r="K25" s="161">
        <v>15332</v>
      </c>
      <c r="L25" s="162">
        <f t="shared" si="1"/>
        <v>0</v>
      </c>
      <c r="M25" s="154"/>
      <c r="N25" s="166">
        <v>2806.6727985772854</v>
      </c>
      <c r="O25" s="167">
        <v>2799.5656316465975</v>
      </c>
    </row>
    <row r="26" spans="1:15" s="140" customFormat="1" x14ac:dyDescent="0.35">
      <c r="A26" s="165">
        <v>20</v>
      </c>
      <c r="B26" s="109" t="s">
        <v>222</v>
      </c>
      <c r="C26" s="110">
        <v>11873</v>
      </c>
      <c r="D26" s="111">
        <f t="shared" si="2"/>
        <v>3.9187301637595515E-3</v>
      </c>
      <c r="E26" s="105">
        <f t="shared" si="5"/>
        <v>531.71904207472096</v>
      </c>
      <c r="F26" s="112">
        <f t="shared" si="3"/>
        <v>1995.3903886962353</v>
      </c>
      <c r="G26" s="113"/>
      <c r="H26" s="114">
        <f t="shared" si="4"/>
        <v>2527.1094307709564</v>
      </c>
      <c r="I26" s="159" t="b">
        <f t="shared" si="0"/>
        <v>1</v>
      </c>
      <c r="J26" s="160" t="s">
        <v>222</v>
      </c>
      <c r="K26" s="161">
        <v>11873</v>
      </c>
      <c r="L26" s="162">
        <f t="shared" si="1"/>
        <v>0</v>
      </c>
      <c r="M26" s="154"/>
      <c r="N26" s="166">
        <v>2623.8741990184599</v>
      </c>
      <c r="O26" s="167">
        <v>2618.1775323331744</v>
      </c>
    </row>
    <row r="27" spans="1:15" s="140" customFormat="1" x14ac:dyDescent="0.35">
      <c r="A27" s="165">
        <v>21</v>
      </c>
      <c r="B27" s="109" t="s">
        <v>223</v>
      </c>
      <c r="C27" s="110">
        <v>92515</v>
      </c>
      <c r="D27" s="111">
        <f t="shared" si="2"/>
        <v>3.053493818750231E-2</v>
      </c>
      <c r="E27" s="105">
        <f t="shared" si="5"/>
        <v>4143.1809296338597</v>
      </c>
      <c r="F27" s="112">
        <f t="shared" si="3"/>
        <v>1995.3903886962353</v>
      </c>
      <c r="G27" s="113"/>
      <c r="H27" s="114">
        <f t="shared" si="4"/>
        <v>6138.571318330095</v>
      </c>
      <c r="I27" s="159" t="b">
        <f t="shared" si="0"/>
        <v>1</v>
      </c>
      <c r="J27" s="160" t="s">
        <v>223</v>
      </c>
      <c r="K27" s="161">
        <v>92515</v>
      </c>
      <c r="L27" s="162">
        <f t="shared" si="1"/>
        <v>0</v>
      </c>
      <c r="M27" s="154"/>
      <c r="N27" s="166">
        <v>6490.5983665818248</v>
      </c>
      <c r="O27" s="167">
        <v>6440.0363382491223</v>
      </c>
    </row>
    <row r="28" spans="1:15" s="140" customFormat="1" x14ac:dyDescent="0.35">
      <c r="A28" s="165">
        <v>22</v>
      </c>
      <c r="B28" s="109" t="s">
        <v>224</v>
      </c>
      <c r="C28" s="110">
        <v>83727</v>
      </c>
      <c r="D28" s="111">
        <f t="shared" si="2"/>
        <v>2.7634424359563377E-2</v>
      </c>
      <c r="E28" s="105">
        <f t="shared" si="5"/>
        <v>3749.6201664103564</v>
      </c>
      <c r="F28" s="112">
        <f t="shared" si="3"/>
        <v>1995.3903886962353</v>
      </c>
      <c r="G28" s="113"/>
      <c r="H28" s="114">
        <f t="shared" si="4"/>
        <v>5745.0105551065917</v>
      </c>
      <c r="I28" s="159" t="b">
        <f t="shared" si="0"/>
        <v>1</v>
      </c>
      <c r="J28" s="160" t="s">
        <v>224</v>
      </c>
      <c r="K28" s="161">
        <v>83727</v>
      </c>
      <c r="L28" s="162">
        <f t="shared" si="1"/>
        <v>0</v>
      </c>
      <c r="M28" s="154"/>
      <c r="N28" s="166">
        <v>6104.1179258137545</v>
      </c>
      <c r="O28" s="167">
        <v>6047.8221219757415</v>
      </c>
    </row>
    <row r="29" spans="1:15" s="140" customFormat="1" x14ac:dyDescent="0.35">
      <c r="A29" s="165">
        <v>23</v>
      </c>
      <c r="B29" s="109" t="s">
        <v>225</v>
      </c>
      <c r="C29" s="110">
        <v>137676</v>
      </c>
      <c r="D29" s="111">
        <f t="shared" si="2"/>
        <v>4.5440503160596314E-2</v>
      </c>
      <c r="E29" s="105">
        <f t="shared" si="5"/>
        <v>6165.6658668137188</v>
      </c>
      <c r="F29" s="112">
        <f t="shared" si="3"/>
        <v>1995.3903886962353</v>
      </c>
      <c r="G29" s="113"/>
      <c r="H29" s="114">
        <f t="shared" si="4"/>
        <v>8161.0562555099541</v>
      </c>
      <c r="I29" s="159" t="b">
        <f t="shared" si="0"/>
        <v>1</v>
      </c>
      <c r="J29" s="160" t="s">
        <v>225</v>
      </c>
      <c r="K29" s="161">
        <v>137676</v>
      </c>
      <c r="L29" s="162">
        <f t="shared" si="1"/>
        <v>0</v>
      </c>
      <c r="M29" s="154"/>
      <c r="N29" s="166">
        <v>8515.5704554958957</v>
      </c>
      <c r="O29" s="167">
        <v>8556.5235159194799</v>
      </c>
    </row>
    <row r="30" spans="1:15" s="140" customFormat="1" x14ac:dyDescent="0.35">
      <c r="A30" s="165">
        <v>24</v>
      </c>
      <c r="B30" s="109" t="s">
        <v>226</v>
      </c>
      <c r="C30" s="110">
        <v>51204</v>
      </c>
      <c r="D30" s="111">
        <f t="shared" si="2"/>
        <v>1.690008079719903E-2</v>
      </c>
      <c r="E30" s="105">
        <f t="shared" si="5"/>
        <v>2293.1139417496852</v>
      </c>
      <c r="F30" s="112">
        <f t="shared" si="3"/>
        <v>1995.3903886962353</v>
      </c>
      <c r="G30" s="113"/>
      <c r="H30" s="114">
        <f t="shared" si="4"/>
        <v>4288.5043304459205</v>
      </c>
      <c r="I30" s="159" t="b">
        <f t="shared" si="0"/>
        <v>1</v>
      </c>
      <c r="J30" s="160" t="s">
        <v>226</v>
      </c>
      <c r="K30" s="161">
        <v>51204</v>
      </c>
      <c r="L30" s="162">
        <f t="shared" si="1"/>
        <v>0</v>
      </c>
      <c r="M30" s="154"/>
      <c r="N30" s="166">
        <v>4479.720124611199</v>
      </c>
      <c r="O30" s="167">
        <v>4463.3450842534412</v>
      </c>
    </row>
    <row r="31" spans="1:15" s="140" customFormat="1" x14ac:dyDescent="0.35">
      <c r="A31" s="165">
        <v>25</v>
      </c>
      <c r="B31" s="109" t="s">
        <v>227</v>
      </c>
      <c r="C31" s="110">
        <v>47279</v>
      </c>
      <c r="D31" s="111">
        <f t="shared" si="2"/>
        <v>1.5604619170587707E-2</v>
      </c>
      <c r="E31" s="105">
        <f t="shared" si="5"/>
        <v>2117.3372012339537</v>
      </c>
      <c r="F31" s="112">
        <f t="shared" si="3"/>
        <v>1995.3903886962353</v>
      </c>
      <c r="G31" s="113"/>
      <c r="H31" s="114">
        <f t="shared" si="4"/>
        <v>4112.7275899301894</v>
      </c>
      <c r="I31" s="159" t="b">
        <f t="shared" si="0"/>
        <v>1</v>
      </c>
      <c r="J31" s="160" t="s">
        <v>227</v>
      </c>
      <c r="K31" s="161">
        <v>47279</v>
      </c>
      <c r="L31" s="162">
        <f t="shared" si="1"/>
        <v>0</v>
      </c>
      <c r="M31" s="154"/>
      <c r="N31" s="166">
        <v>4339.7181234122008</v>
      </c>
      <c r="O31" s="167">
        <v>4338.5223438087141</v>
      </c>
    </row>
    <row r="32" spans="1:15" s="140" customFormat="1" x14ac:dyDescent="0.35">
      <c r="A32" s="165">
        <v>26</v>
      </c>
      <c r="B32" s="109" t="s">
        <v>228</v>
      </c>
      <c r="C32" s="110">
        <v>63380</v>
      </c>
      <c r="D32" s="111">
        <f t="shared" si="2"/>
        <v>2.0918817297993799E-2</v>
      </c>
      <c r="E32" s="105">
        <f t="shared" si="5"/>
        <v>2838.4025003533911</v>
      </c>
      <c r="F32" s="112">
        <f t="shared" si="3"/>
        <v>1995.3903886962353</v>
      </c>
      <c r="G32" s="113"/>
      <c r="H32" s="114">
        <f t="shared" si="4"/>
        <v>4833.792889049626</v>
      </c>
      <c r="I32" s="159" t="b">
        <f t="shared" si="0"/>
        <v>1</v>
      </c>
      <c r="J32" s="160" t="s">
        <v>228</v>
      </c>
      <c r="K32" s="161">
        <v>63380</v>
      </c>
      <c r="L32" s="162">
        <f t="shared" si="1"/>
        <v>0</v>
      </c>
      <c r="M32" s="154"/>
      <c r="N32" s="166">
        <v>5083.367549178919</v>
      </c>
      <c r="O32" s="167">
        <v>5068.1415315693066</v>
      </c>
    </row>
    <row r="33" spans="1:15" s="140" customFormat="1" x14ac:dyDescent="0.35">
      <c r="A33" s="165">
        <v>27</v>
      </c>
      <c r="B33" s="109" t="s">
        <v>229</v>
      </c>
      <c r="C33" s="110">
        <v>34798</v>
      </c>
      <c r="D33" s="111">
        <f t="shared" si="2"/>
        <v>1.1485216224922504E-2</v>
      </c>
      <c r="E33" s="105">
        <f t="shared" si="5"/>
        <v>1558.3895583353947</v>
      </c>
      <c r="F33" s="112">
        <f t="shared" si="3"/>
        <v>1995.3903886962353</v>
      </c>
      <c r="G33" s="113"/>
      <c r="H33" s="114">
        <f t="shared" si="4"/>
        <v>3553.7799470316299</v>
      </c>
      <c r="I33" s="159" t="b">
        <f t="shared" si="0"/>
        <v>1</v>
      </c>
      <c r="J33" s="160" t="s">
        <v>229</v>
      </c>
      <c r="K33" s="161">
        <v>34798</v>
      </c>
      <c r="L33" s="162">
        <f t="shared" si="1"/>
        <v>0</v>
      </c>
      <c r="M33" s="154"/>
      <c r="N33" s="166">
        <v>3759.9506388483233</v>
      </c>
      <c r="O33" s="167">
        <v>3762.0085759271969</v>
      </c>
    </row>
    <row r="34" spans="1:15" s="140" customFormat="1" x14ac:dyDescent="0.35">
      <c r="A34" s="165">
        <v>28</v>
      </c>
      <c r="B34" s="109" t="s">
        <v>230</v>
      </c>
      <c r="C34" s="110">
        <v>308459</v>
      </c>
      <c r="D34" s="111">
        <f t="shared" si="2"/>
        <v>0.10180810137144004</v>
      </c>
      <c r="E34" s="105">
        <f t="shared" si="5"/>
        <v>13813.991745921534</v>
      </c>
      <c r="F34" s="112">
        <f t="shared" si="3"/>
        <v>1995.3903886962353</v>
      </c>
      <c r="G34" s="113"/>
      <c r="H34" s="114">
        <f t="shared" si="4"/>
        <v>15809.382134617768</v>
      </c>
      <c r="I34" s="159" t="b">
        <f t="shared" si="0"/>
        <v>1</v>
      </c>
      <c r="J34" s="160" t="s">
        <v>230</v>
      </c>
      <c r="K34" s="161">
        <v>308459</v>
      </c>
      <c r="L34" s="162">
        <f t="shared" si="1"/>
        <v>0</v>
      </c>
      <c r="M34" s="154"/>
      <c r="N34" s="166">
        <v>17599.452809545804</v>
      </c>
      <c r="O34" s="167">
        <v>17567.56079511093</v>
      </c>
    </row>
    <row r="35" spans="1:15" s="140" customFormat="1" x14ac:dyDescent="0.35">
      <c r="A35" s="165">
        <v>29</v>
      </c>
      <c r="B35" s="109" t="s">
        <v>231</v>
      </c>
      <c r="C35" s="110">
        <v>24846</v>
      </c>
      <c r="D35" s="111">
        <f t="shared" si="2"/>
        <v>8.2005196368878826E-3</v>
      </c>
      <c r="E35" s="105">
        <f t="shared" si="5"/>
        <v>1112.7003553767809</v>
      </c>
      <c r="F35" s="112">
        <f t="shared" si="3"/>
        <v>1995.3903886962353</v>
      </c>
      <c r="G35" s="113"/>
      <c r="H35" s="114">
        <f t="shared" si="4"/>
        <v>3108.0907440730161</v>
      </c>
      <c r="I35" s="159" t="b">
        <f t="shared" si="0"/>
        <v>1</v>
      </c>
      <c r="J35" s="160" t="s">
        <v>231</v>
      </c>
      <c r="K35" s="161">
        <v>24846</v>
      </c>
      <c r="L35" s="162">
        <f t="shared" si="1"/>
        <v>0</v>
      </c>
      <c r="M35" s="154"/>
      <c r="N35" s="166">
        <v>3228.1303279392191</v>
      </c>
      <c r="O35" s="167">
        <v>3238.594152277813</v>
      </c>
    </row>
    <row r="36" spans="1:15" s="140" customFormat="1" x14ac:dyDescent="0.35">
      <c r="A36" s="165">
        <v>30</v>
      </c>
      <c r="B36" s="109" t="s">
        <v>232</v>
      </c>
      <c r="C36" s="110">
        <v>39275</v>
      </c>
      <c r="D36" s="111">
        <f t="shared" si="2"/>
        <v>1.2962867614053433E-2</v>
      </c>
      <c r="E36" s="105">
        <f t="shared" si="5"/>
        <v>1758.8870022306635</v>
      </c>
      <c r="F36" s="112">
        <f t="shared" si="3"/>
        <v>1995.3903886962353</v>
      </c>
      <c r="G36" s="113"/>
      <c r="H36" s="114">
        <f t="shared" si="4"/>
        <v>3754.277390926899</v>
      </c>
      <c r="I36" s="159" t="b">
        <f t="shared" si="0"/>
        <v>1</v>
      </c>
      <c r="J36" s="160" t="s">
        <v>232</v>
      </c>
      <c r="K36" s="161">
        <v>39275</v>
      </c>
      <c r="L36" s="162">
        <f t="shared" si="1"/>
        <v>0</v>
      </c>
      <c r="M36" s="154"/>
      <c r="N36" s="166">
        <v>3936.5685480532129</v>
      </c>
      <c r="O36" s="167">
        <v>3889.5117010241993</v>
      </c>
    </row>
    <row r="37" spans="1:15" s="140" customFormat="1" x14ac:dyDescent="0.35">
      <c r="A37" s="165">
        <v>31</v>
      </c>
      <c r="B37" s="109" t="s">
        <v>233</v>
      </c>
      <c r="C37" s="110">
        <v>79535</v>
      </c>
      <c r="D37" s="111">
        <f t="shared" si="2"/>
        <v>2.6250838336950723E-2</v>
      </c>
      <c r="E37" s="105">
        <f t="shared" si="5"/>
        <v>3561.8861291512617</v>
      </c>
      <c r="F37" s="112">
        <f t="shared" si="3"/>
        <v>1995.3903886962353</v>
      </c>
      <c r="G37" s="113"/>
      <c r="H37" s="114">
        <f t="shared" si="4"/>
        <v>5557.2765178474965</v>
      </c>
      <c r="I37" s="159" t="b">
        <f t="shared" si="0"/>
        <v>1</v>
      </c>
      <c r="J37" s="160" t="s">
        <v>233</v>
      </c>
      <c r="K37" s="161">
        <v>79535</v>
      </c>
      <c r="L37" s="162">
        <f t="shared" si="1"/>
        <v>0</v>
      </c>
      <c r="M37" s="154"/>
      <c r="N37" s="166">
        <v>5829.9200264755164</v>
      </c>
      <c r="O37" s="167">
        <v>5798.3614952002354</v>
      </c>
    </row>
    <row r="38" spans="1:15" s="140" customFormat="1" x14ac:dyDescent="0.35">
      <c r="A38" s="165">
        <v>32</v>
      </c>
      <c r="B38" s="109" t="s">
        <v>234</v>
      </c>
      <c r="C38" s="110">
        <v>5782</v>
      </c>
      <c r="D38" s="111">
        <f t="shared" si="2"/>
        <v>1.908371751609343E-3</v>
      </c>
      <c r="E38" s="105">
        <f t="shared" si="5"/>
        <v>258.94041112406609</v>
      </c>
      <c r="F38" s="112">
        <f t="shared" si="3"/>
        <v>1995.3903886962353</v>
      </c>
      <c r="G38" s="113"/>
      <c r="H38" s="114">
        <f t="shared" si="4"/>
        <v>2254.3307998203013</v>
      </c>
      <c r="I38" s="159" t="b">
        <f t="shared" si="0"/>
        <v>1</v>
      </c>
      <c r="J38" s="160" t="s">
        <v>234</v>
      </c>
      <c r="K38" s="161">
        <v>5782</v>
      </c>
      <c r="L38" s="162">
        <f t="shared" si="1"/>
        <v>0</v>
      </c>
      <c r="M38" s="154"/>
      <c r="N38" s="166">
        <v>2353.2817023866842</v>
      </c>
      <c r="O38" s="167">
        <v>2350.0928535772082</v>
      </c>
    </row>
    <row r="39" spans="1:15" s="140" customFormat="1" x14ac:dyDescent="0.35">
      <c r="A39" s="165">
        <v>33</v>
      </c>
      <c r="B39" s="109" t="s">
        <v>235</v>
      </c>
      <c r="C39" s="110">
        <v>90393</v>
      </c>
      <c r="D39" s="111">
        <f>C39/$C$48</f>
        <v>2.9834563774338175E-2</v>
      </c>
      <c r="E39" s="105">
        <f t="shared" si="5"/>
        <v>4048.1495300480296</v>
      </c>
      <c r="F39" s="112">
        <f>H$55/34</f>
        <v>1995.3903886962353</v>
      </c>
      <c r="G39" s="113"/>
      <c r="H39" s="114">
        <f t="shared" si="4"/>
        <v>6043.5399187442654</v>
      </c>
      <c r="I39" s="159" t="b">
        <f t="shared" si="0"/>
        <v>1</v>
      </c>
      <c r="J39" s="160" t="s">
        <v>235</v>
      </c>
      <c r="K39" s="161">
        <v>90393</v>
      </c>
      <c r="L39" s="162">
        <f t="shared" si="1"/>
        <v>0</v>
      </c>
      <c r="M39" s="154"/>
      <c r="N39" s="166">
        <v>6366.3758551500714</v>
      </c>
      <c r="O39" s="167">
        <v>6354.7261646612042</v>
      </c>
    </row>
    <row r="40" spans="1:15" s="140" customFormat="1" x14ac:dyDescent="0.35">
      <c r="A40" s="165">
        <v>34</v>
      </c>
      <c r="B40" s="109" t="s">
        <v>236</v>
      </c>
      <c r="C40" s="116">
        <v>67233</v>
      </c>
      <c r="D40" s="111">
        <f t="shared" si="2"/>
        <v>2.219051504253735E-2</v>
      </c>
      <c r="E40" s="105">
        <f>SUM(D40*H$56)</f>
        <v>3010.9548012978789</v>
      </c>
      <c r="F40" s="112">
        <f t="shared" si="3"/>
        <v>1995.3903886962353</v>
      </c>
      <c r="G40" s="113"/>
      <c r="H40" s="117">
        <f t="shared" si="4"/>
        <v>5006.3451899941138</v>
      </c>
      <c r="I40" s="159" t="b">
        <f t="shared" si="0"/>
        <v>1</v>
      </c>
      <c r="J40" s="170" t="s">
        <v>236</v>
      </c>
      <c r="K40" s="171">
        <v>67233</v>
      </c>
      <c r="L40" s="162">
        <f t="shared" si="1"/>
        <v>0</v>
      </c>
      <c r="M40" s="154"/>
      <c r="N40" s="166">
        <v>5260.4068690897593</v>
      </c>
      <c r="O40" s="167">
        <v>5256.1843789849281</v>
      </c>
    </row>
    <row r="41" spans="1:15" s="140" customFormat="1" x14ac:dyDescent="0.35">
      <c r="A41" s="165">
        <v>35</v>
      </c>
      <c r="B41" s="109" t="s">
        <v>237</v>
      </c>
      <c r="C41" s="118"/>
      <c r="D41" s="111"/>
      <c r="E41" s="119"/>
      <c r="F41" s="112"/>
      <c r="G41" s="120">
        <f t="shared" ref="G41:G46" si="6">N41*(1+K$51)</f>
        <v>9000</v>
      </c>
      <c r="H41" s="117">
        <f t="shared" ref="H41:H46" si="7">G41</f>
        <v>9000</v>
      </c>
      <c r="I41" s="159"/>
      <c r="J41" s="160"/>
      <c r="K41" s="161"/>
      <c r="L41" s="154"/>
      <c r="M41" s="154"/>
      <c r="N41" s="166">
        <v>9000</v>
      </c>
      <c r="O41" s="167">
        <v>0</v>
      </c>
    </row>
    <row r="42" spans="1:15" s="140" customFormat="1" x14ac:dyDescent="0.35">
      <c r="A42" s="165">
        <v>36</v>
      </c>
      <c r="B42" s="109" t="s">
        <v>238</v>
      </c>
      <c r="C42" s="118"/>
      <c r="D42" s="111"/>
      <c r="E42" s="119"/>
      <c r="F42" s="112"/>
      <c r="G42" s="120">
        <f t="shared" si="6"/>
        <v>9000</v>
      </c>
      <c r="H42" s="117">
        <f t="shared" si="7"/>
        <v>9000</v>
      </c>
      <c r="I42" s="159"/>
      <c r="J42" s="160" t="s">
        <v>256</v>
      </c>
      <c r="K42" s="161">
        <v>132437</v>
      </c>
      <c r="L42" s="162">
        <f>C50-K42</f>
        <v>0</v>
      </c>
      <c r="M42" s="154"/>
      <c r="N42" s="166">
        <v>9000</v>
      </c>
      <c r="O42" s="167">
        <v>9000</v>
      </c>
    </row>
    <row r="43" spans="1:15" s="140" customFormat="1" x14ac:dyDescent="0.35">
      <c r="A43" s="165">
        <v>37</v>
      </c>
      <c r="B43" s="109" t="s">
        <v>239</v>
      </c>
      <c r="C43" s="118"/>
      <c r="D43" s="111"/>
      <c r="E43" s="119"/>
      <c r="F43" s="112"/>
      <c r="G43" s="120">
        <f t="shared" si="6"/>
        <v>9000</v>
      </c>
      <c r="H43" s="117">
        <f t="shared" si="7"/>
        <v>9000</v>
      </c>
      <c r="I43" s="159"/>
      <c r="J43" s="160" t="s">
        <v>257</v>
      </c>
      <c r="K43" s="161">
        <v>3029808</v>
      </c>
      <c r="L43" s="162">
        <f>C48-K43</f>
        <v>0</v>
      </c>
      <c r="M43" s="154"/>
      <c r="N43" s="166">
        <v>9000</v>
      </c>
      <c r="O43" s="167">
        <v>9000</v>
      </c>
    </row>
    <row r="44" spans="1:15" s="140" customFormat="1" x14ac:dyDescent="0.35">
      <c r="A44" s="165">
        <v>38</v>
      </c>
      <c r="B44" s="109" t="s">
        <v>240</v>
      </c>
      <c r="C44" s="118"/>
      <c r="D44" s="111"/>
      <c r="E44" s="119"/>
      <c r="F44" s="112"/>
      <c r="G44" s="120">
        <f t="shared" si="6"/>
        <v>7500</v>
      </c>
      <c r="H44" s="117">
        <f t="shared" si="7"/>
        <v>7500</v>
      </c>
      <c r="I44" s="159"/>
      <c r="J44" s="170"/>
      <c r="K44" s="171"/>
      <c r="L44" s="154"/>
      <c r="M44" s="154"/>
      <c r="N44" s="166">
        <v>7500</v>
      </c>
      <c r="O44" s="167">
        <v>7500</v>
      </c>
    </row>
    <row r="45" spans="1:15" s="140" customFormat="1" x14ac:dyDescent="0.35">
      <c r="A45" s="165">
        <v>39</v>
      </c>
      <c r="B45" s="109" t="s">
        <v>241</v>
      </c>
      <c r="C45" s="118"/>
      <c r="D45" s="111"/>
      <c r="E45" s="119"/>
      <c r="F45" s="112"/>
      <c r="G45" s="120">
        <f t="shared" si="6"/>
        <v>500</v>
      </c>
      <c r="H45" s="117">
        <f t="shared" si="7"/>
        <v>500</v>
      </c>
      <c r="I45" s="159"/>
      <c r="J45" s="160" t="s">
        <v>258</v>
      </c>
      <c r="K45" s="161">
        <v>3162245</v>
      </c>
      <c r="L45" s="162">
        <f>C51-K45</f>
        <v>0</v>
      </c>
      <c r="M45" s="154"/>
      <c r="N45" s="166">
        <v>500</v>
      </c>
      <c r="O45" s="167">
        <v>500</v>
      </c>
    </row>
    <row r="46" spans="1:15" s="140" customFormat="1" x14ac:dyDescent="0.35">
      <c r="A46" s="172">
        <v>40</v>
      </c>
      <c r="B46" s="121" t="s">
        <v>242</v>
      </c>
      <c r="C46" s="122"/>
      <c r="D46" s="123"/>
      <c r="E46" s="124"/>
      <c r="F46" s="124"/>
      <c r="G46" s="125">
        <f t="shared" si="6"/>
        <v>7500</v>
      </c>
      <c r="H46" s="126">
        <f t="shared" si="7"/>
        <v>7500</v>
      </c>
      <c r="I46" s="159"/>
      <c r="J46" s="154"/>
      <c r="K46" s="154"/>
      <c r="L46" s="154"/>
      <c r="M46" s="154"/>
      <c r="N46" s="173">
        <v>7500</v>
      </c>
      <c r="O46" s="174">
        <v>7500</v>
      </c>
    </row>
    <row r="47" spans="1:15" s="140" customFormat="1" x14ac:dyDescent="0.35">
      <c r="B47" s="127"/>
      <c r="C47" s="128"/>
      <c r="D47" s="129"/>
      <c r="E47" s="130"/>
      <c r="F47" s="130"/>
      <c r="G47" s="130"/>
      <c r="H47" s="131"/>
      <c r="I47" s="155"/>
      <c r="J47" s="154"/>
      <c r="K47" s="154"/>
      <c r="L47" s="154"/>
      <c r="M47" s="154"/>
      <c r="N47" s="175"/>
      <c r="O47" s="176">
        <f>SUM(O7:O46)</f>
        <v>246029.83738145075</v>
      </c>
    </row>
    <row r="48" spans="1:15" s="140" customFormat="1" ht="16" thickBot="1" x14ac:dyDescent="0.4">
      <c r="B48" s="132" t="s">
        <v>243</v>
      </c>
      <c r="C48" s="128">
        <f>SUM(C7:C40)</f>
        <v>3029808</v>
      </c>
      <c r="D48" s="133">
        <f>SUM(D7:D40)</f>
        <v>1</v>
      </c>
      <c r="E48" s="134">
        <f>SUM(E7:E40)</f>
        <v>135686.56678432802</v>
      </c>
      <c r="F48" s="134">
        <f>SUM(F7:F40)</f>
        <v>67843.273215672016</v>
      </c>
      <c r="G48" s="134">
        <f>SUM(G7:G46)</f>
        <v>42500</v>
      </c>
      <c r="H48" s="135">
        <f>SUM(H7:H46)</f>
        <v>246029.84</v>
      </c>
      <c r="I48" s="154"/>
      <c r="J48" s="154"/>
      <c r="K48" s="154"/>
      <c r="L48" s="154"/>
      <c r="M48" s="154"/>
      <c r="N48" s="177">
        <v>246029.83999999997</v>
      </c>
      <c r="O48" s="154"/>
    </row>
    <row r="49" spans="1:18" ht="16" thickTop="1" x14ac:dyDescent="0.35">
      <c r="B49" s="132"/>
      <c r="C49" s="128"/>
      <c r="E49" s="136"/>
      <c r="F49" s="137"/>
      <c r="G49" s="137"/>
      <c r="H49" s="138"/>
    </row>
    <row r="50" spans="1:18" x14ac:dyDescent="0.35">
      <c r="B50" s="132" t="s">
        <v>244</v>
      </c>
      <c r="C50" s="139">
        <v>132437</v>
      </c>
      <c r="E50" s="136"/>
      <c r="F50" s="137"/>
      <c r="G50" s="137"/>
      <c r="H50" s="138"/>
      <c r="K50" s="154" t="s">
        <v>259</v>
      </c>
    </row>
    <row r="51" spans="1:18" x14ac:dyDescent="0.35">
      <c r="B51" s="140" t="s">
        <v>245</v>
      </c>
      <c r="C51" s="128">
        <f>C50+C48</f>
        <v>3162245</v>
      </c>
      <c r="K51" s="178">
        <v>0</v>
      </c>
      <c r="L51" s="154" t="s">
        <v>260</v>
      </c>
    </row>
    <row r="52" spans="1:18" x14ac:dyDescent="0.35">
      <c r="C52" s="128"/>
      <c r="J52" s="154" t="s">
        <v>261</v>
      </c>
    </row>
    <row r="53" spans="1:18" ht="16" thickBot="1" x14ac:dyDescent="0.4">
      <c r="A53" s="179" t="s">
        <v>262</v>
      </c>
      <c r="D53" s="128"/>
      <c r="H53" s="130"/>
      <c r="J53" s="180">
        <v>246029.84</v>
      </c>
      <c r="K53" s="181">
        <f>J55*(1+K51)</f>
        <v>246029.84</v>
      </c>
      <c r="M53" s="181"/>
    </row>
    <row r="54" spans="1:18" ht="16" thickTop="1" x14ac:dyDescent="0.35">
      <c r="J54" s="182"/>
      <c r="K54" s="176"/>
    </row>
    <row r="55" spans="1:18" x14ac:dyDescent="0.35">
      <c r="A55" s="140" t="s">
        <v>263</v>
      </c>
      <c r="B55" s="127"/>
      <c r="C55" s="128"/>
      <c r="D55" s="140"/>
      <c r="E55" s="141"/>
      <c r="F55" s="130"/>
      <c r="G55" s="130"/>
      <c r="H55" s="142">
        <f>0.3333333*(H58-H57)</f>
        <v>67843.273215672001</v>
      </c>
      <c r="J55" s="183">
        <f>SUM(J53:J54)</f>
        <v>246029.84</v>
      </c>
      <c r="K55" s="181"/>
    </row>
    <row r="56" spans="1:18" x14ac:dyDescent="0.35">
      <c r="A56" s="140" t="s">
        <v>264</v>
      </c>
      <c r="B56" s="132"/>
      <c r="C56" s="128"/>
      <c r="D56" s="140"/>
      <c r="E56" s="136"/>
      <c r="H56" s="143">
        <f>H58-H55-H57</f>
        <v>135686.566784328</v>
      </c>
    </row>
    <row r="57" spans="1:18" x14ac:dyDescent="0.35">
      <c r="A57" s="140" t="s">
        <v>265</v>
      </c>
      <c r="D57" s="140"/>
      <c r="E57" s="130"/>
      <c r="H57" s="144">
        <f>G48</f>
        <v>42500</v>
      </c>
      <c r="I57" s="184"/>
      <c r="L57" s="181"/>
    </row>
    <row r="58" spans="1:18" ht="16" thickBot="1" x14ac:dyDescent="0.4">
      <c r="D58" s="145"/>
      <c r="E58" s="136"/>
      <c r="H58" s="146">
        <f>K53</f>
        <v>246029.84</v>
      </c>
      <c r="I58" s="181"/>
    </row>
    <row r="59" spans="1:18" ht="16" thickTop="1" x14ac:dyDescent="0.35">
      <c r="B59" s="147" t="s">
        <v>246</v>
      </c>
      <c r="D59" s="140"/>
      <c r="G59" s="148"/>
      <c r="I59" s="184"/>
      <c r="J59" s="184"/>
      <c r="K59" s="184"/>
      <c r="L59" s="184"/>
    </row>
    <row r="60" spans="1:18" s="136" customFormat="1" x14ac:dyDescent="0.35">
      <c r="A60" s="140"/>
      <c r="B60" s="140"/>
      <c r="C60" s="140"/>
      <c r="D60" s="140"/>
      <c r="E60" s="140"/>
      <c r="F60" s="140"/>
      <c r="G60" s="185"/>
      <c r="I60" s="184"/>
      <c r="J60" s="184"/>
      <c r="K60" s="184"/>
      <c r="L60" s="184"/>
      <c r="M60" s="184"/>
      <c r="N60" s="186"/>
      <c r="O60" s="184"/>
      <c r="P60" s="184"/>
      <c r="Q60" s="184"/>
      <c r="R60" s="184"/>
    </row>
    <row r="61" spans="1:18" s="136" customFormat="1" x14ac:dyDescent="0.35">
      <c r="A61" s="140"/>
      <c r="B61" s="140"/>
      <c r="C61" s="140"/>
      <c r="D61" s="140"/>
      <c r="E61" s="140"/>
      <c r="F61" s="140"/>
      <c r="G61" s="185"/>
      <c r="I61" s="184"/>
      <c r="J61" s="184"/>
      <c r="K61" s="184"/>
      <c r="L61" s="184"/>
      <c r="M61" s="184"/>
      <c r="N61" s="186"/>
      <c r="O61" s="184"/>
      <c r="P61" s="184"/>
      <c r="Q61" s="184"/>
      <c r="R61" s="184"/>
    </row>
    <row r="62" spans="1:18" s="136" customFormat="1" x14ac:dyDescent="0.35">
      <c r="A62" s="140"/>
      <c r="B62" s="140"/>
      <c r="C62" s="140"/>
      <c r="D62" s="140"/>
      <c r="E62" s="140"/>
      <c r="F62" s="140"/>
      <c r="G62" s="140"/>
      <c r="I62" s="184"/>
      <c r="J62" s="184"/>
      <c r="K62" s="184"/>
      <c r="L62" s="184"/>
      <c r="M62" s="184"/>
      <c r="N62" s="186"/>
      <c r="O62" s="184"/>
      <c r="P62" s="184"/>
      <c r="Q62" s="184"/>
      <c r="R62" s="184"/>
    </row>
    <row r="63" spans="1:18" s="136" customFormat="1" x14ac:dyDescent="0.35">
      <c r="A63" s="140"/>
      <c r="B63" s="140"/>
      <c r="C63" s="140"/>
      <c r="D63" s="140"/>
      <c r="E63" s="140"/>
      <c r="F63" s="140"/>
      <c r="G63" s="187"/>
      <c r="I63" s="184"/>
      <c r="J63" s="184"/>
      <c r="K63" s="184"/>
      <c r="L63" s="184"/>
      <c r="M63" s="184"/>
      <c r="N63" s="186"/>
      <c r="O63" s="184"/>
      <c r="P63" s="184"/>
      <c r="Q63" s="184"/>
      <c r="R63" s="184"/>
    </row>
    <row r="64" spans="1:18" s="136" customFormat="1" x14ac:dyDescent="0.35">
      <c r="A64" s="140"/>
      <c r="B64" s="140"/>
      <c r="C64" s="140"/>
      <c r="D64" s="140"/>
      <c r="E64" s="140"/>
      <c r="F64" s="140"/>
      <c r="G64" s="188"/>
      <c r="I64" s="154"/>
      <c r="J64" s="154"/>
      <c r="K64" s="154"/>
      <c r="L64" s="154"/>
      <c r="M64" s="184"/>
      <c r="N64" s="186"/>
      <c r="O64" s="184"/>
      <c r="P64" s="184"/>
      <c r="Q64" s="184"/>
      <c r="R64" s="184"/>
    </row>
    <row r="65" spans="1:18" x14ac:dyDescent="0.35">
      <c r="D65" s="140"/>
      <c r="H65" s="140"/>
      <c r="I65" s="184"/>
      <c r="J65" s="184"/>
      <c r="K65" s="184"/>
      <c r="L65" s="184"/>
    </row>
    <row r="66" spans="1:18" s="136" customFormat="1" x14ac:dyDescent="0.35">
      <c r="A66" s="140"/>
      <c r="B66" s="140"/>
      <c r="C66" s="140"/>
      <c r="D66" s="140"/>
      <c r="E66" s="140"/>
      <c r="F66" s="140"/>
      <c r="G66" s="140"/>
      <c r="H66" s="140"/>
      <c r="I66" s="184"/>
      <c r="J66" s="184"/>
      <c r="K66" s="184"/>
      <c r="L66" s="184"/>
      <c r="M66" s="184"/>
      <c r="N66" s="186"/>
      <c r="O66" s="184"/>
      <c r="P66" s="184"/>
      <c r="Q66" s="184"/>
      <c r="R66" s="184"/>
    </row>
    <row r="67" spans="1:18" s="136" customFormat="1" x14ac:dyDescent="0.35">
      <c r="A67" s="140"/>
      <c r="B67" s="140"/>
      <c r="C67" s="140"/>
      <c r="D67" s="133"/>
      <c r="E67" s="140"/>
      <c r="F67" s="140"/>
      <c r="G67" s="140"/>
      <c r="H67" s="140"/>
      <c r="I67" s="154"/>
      <c r="J67" s="154"/>
      <c r="K67" s="154"/>
      <c r="L67" s="154"/>
      <c r="M67" s="184"/>
      <c r="N67" s="186"/>
      <c r="O67" s="184"/>
      <c r="P67" s="184"/>
      <c r="Q67" s="184"/>
      <c r="R67" s="184"/>
    </row>
    <row r="68" spans="1:18" x14ac:dyDescent="0.35">
      <c r="H68" s="140"/>
    </row>
  </sheetData>
  <mergeCells count="2">
    <mergeCell ref="B3:H3"/>
    <mergeCell ref="B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77"/>
  <sheetViews>
    <sheetView topLeftCell="A2" workbookViewId="0">
      <selection activeCell="B2" sqref="B1:B1048576"/>
    </sheetView>
  </sheetViews>
  <sheetFormatPr defaultColWidth="10.6328125" defaultRowHeight="15.5" x14ac:dyDescent="0.35"/>
  <cols>
    <col min="1" max="1" width="3.36328125" style="140" customWidth="1"/>
    <col min="2" max="2" width="25.6328125" style="400" customWidth="1"/>
    <col min="3" max="3" width="11.453125" style="140" customWidth="1"/>
    <col min="4" max="4" width="8.81640625" style="133" customWidth="1"/>
    <col min="5" max="5" width="15.6328125" style="140" customWidth="1"/>
    <col min="6" max="6" width="12.81640625" style="140" customWidth="1"/>
    <col min="7" max="7" width="11.36328125" style="140" customWidth="1"/>
    <col min="8" max="8" width="13.453125" style="423" customWidth="1"/>
    <col min="9" max="9" width="11" style="154" hidden="1" customWidth="1"/>
    <col min="10" max="10" width="23.6328125" style="154" hidden="1" customWidth="1"/>
    <col min="11" max="11" width="12.81640625" style="154" hidden="1" customWidth="1"/>
    <col min="12" max="12" width="11" style="154" hidden="1" customWidth="1"/>
    <col min="13" max="13" width="0" style="154" hidden="1" customWidth="1"/>
    <col min="14" max="14" width="12.6328125" style="155" hidden="1" customWidth="1"/>
    <col min="15" max="15" width="13.6328125" style="154" hidden="1" customWidth="1"/>
    <col min="16" max="16" width="0" style="154" hidden="1" customWidth="1"/>
    <col min="17" max="17" width="13.36328125" style="402" customWidth="1"/>
    <col min="18" max="18" width="12.453125" style="154" bestFit="1" customWidth="1"/>
    <col min="19" max="19" width="11.453125" style="140" customWidth="1"/>
    <col min="20" max="16384" width="10.6328125" style="140"/>
  </cols>
  <sheetData>
    <row r="1" spans="1:20" ht="16" hidden="1" customHeight="1" x14ac:dyDescent="0.35">
      <c r="A1" s="149"/>
      <c r="B1" s="451" t="s">
        <v>247</v>
      </c>
      <c r="C1" s="149"/>
      <c r="D1" s="150"/>
      <c r="E1" s="149"/>
      <c r="F1" s="149"/>
      <c r="G1" s="151"/>
      <c r="H1" s="413"/>
      <c r="I1" s="152" t="s">
        <v>248</v>
      </c>
      <c r="J1" s="153"/>
      <c r="K1" s="153"/>
      <c r="L1" s="153"/>
      <c r="P1" s="140"/>
      <c r="R1" s="140"/>
    </row>
    <row r="2" spans="1:20" x14ac:dyDescent="0.35">
      <c r="C2" s="400"/>
      <c r="D2" s="431"/>
      <c r="E2" s="400"/>
      <c r="F2" s="400"/>
      <c r="G2" s="401"/>
      <c r="H2" s="400"/>
      <c r="I2" s="400"/>
      <c r="J2" s="400"/>
      <c r="K2" s="400"/>
      <c r="L2" s="400"/>
      <c r="M2" s="400"/>
      <c r="N2" s="432" t="s">
        <v>249</v>
      </c>
      <c r="O2" s="400"/>
      <c r="P2" s="400"/>
      <c r="Q2" s="400"/>
      <c r="R2" s="140"/>
    </row>
    <row r="3" spans="1:20" x14ac:dyDescent="0.35">
      <c r="B3" s="468" t="s">
        <v>194</v>
      </c>
      <c r="C3" s="468"/>
      <c r="D3" s="468"/>
      <c r="E3" s="468"/>
      <c r="F3" s="468"/>
      <c r="G3" s="468"/>
      <c r="H3" s="468"/>
      <c r="I3" s="400"/>
      <c r="J3" s="400" t="s">
        <v>250</v>
      </c>
      <c r="K3" s="400"/>
      <c r="L3" s="400"/>
      <c r="M3" s="400"/>
      <c r="N3" s="432"/>
      <c r="O3" s="400"/>
      <c r="P3" s="400"/>
      <c r="Q3" s="400"/>
      <c r="R3" s="140"/>
    </row>
    <row r="4" spans="1:20" x14ac:dyDescent="0.35">
      <c r="B4" s="469" t="s">
        <v>296</v>
      </c>
      <c r="C4" s="469"/>
      <c r="D4" s="469"/>
      <c r="E4" s="469"/>
      <c r="F4" s="469"/>
      <c r="G4" s="469"/>
      <c r="H4" s="469"/>
      <c r="I4" s="400"/>
      <c r="J4" s="400" t="s">
        <v>251</v>
      </c>
      <c r="K4" s="400"/>
      <c r="L4" s="400"/>
      <c r="M4" s="400"/>
      <c r="N4" s="432"/>
      <c r="O4" s="400"/>
      <c r="P4" s="400"/>
      <c r="Q4" s="400"/>
      <c r="R4" s="140"/>
    </row>
    <row r="5" spans="1:20" x14ac:dyDescent="0.35">
      <c r="B5" s="450"/>
      <c r="C5" s="97"/>
      <c r="D5" s="97"/>
      <c r="E5" s="97"/>
      <c r="F5" s="97"/>
      <c r="G5" s="97"/>
      <c r="H5" s="414"/>
      <c r="J5" s="154" t="s">
        <v>252</v>
      </c>
      <c r="P5" s="140"/>
      <c r="R5" s="140"/>
    </row>
    <row r="6" spans="1:20" ht="77.5" x14ac:dyDescent="0.35">
      <c r="B6" s="452" t="s">
        <v>196</v>
      </c>
      <c r="C6" s="98" t="s">
        <v>197</v>
      </c>
      <c r="D6" s="99" t="s">
        <v>198</v>
      </c>
      <c r="E6" s="100" t="s">
        <v>199</v>
      </c>
      <c r="F6" s="100" t="s">
        <v>200</v>
      </c>
      <c r="G6" s="100" t="s">
        <v>201</v>
      </c>
      <c r="H6" s="415" t="s">
        <v>298</v>
      </c>
      <c r="I6" s="155"/>
      <c r="J6" s="156" t="s">
        <v>253</v>
      </c>
      <c r="K6" s="156"/>
      <c r="N6" s="157" t="s">
        <v>254</v>
      </c>
      <c r="O6" s="154" t="s">
        <v>255</v>
      </c>
      <c r="P6" s="140"/>
      <c r="Q6" s="403" t="s">
        <v>297</v>
      </c>
      <c r="R6" s="430" t="s">
        <v>355</v>
      </c>
      <c r="S6" s="430" t="s">
        <v>354</v>
      </c>
    </row>
    <row r="7" spans="1:20" x14ac:dyDescent="0.35">
      <c r="A7" s="158">
        <v>1</v>
      </c>
      <c r="B7" s="453" t="s">
        <v>203</v>
      </c>
      <c r="C7" s="103">
        <v>50782</v>
      </c>
      <c r="D7" s="104">
        <f>C7/$C$48</f>
        <v>1.6760798043968461E-2</v>
      </c>
      <c r="E7" s="105">
        <f>SUM(D7*H$56)</f>
        <v>2729.0581717818723</v>
      </c>
      <c r="F7" s="106">
        <v>3000</v>
      </c>
      <c r="G7" s="107"/>
      <c r="H7" s="416">
        <f>SUM(E7+F7)</f>
        <v>5729.0581717818723</v>
      </c>
      <c r="I7" s="159" t="b">
        <f t="shared" ref="I7:I40" si="0">J7=B7</f>
        <v>1</v>
      </c>
      <c r="J7" s="160" t="s">
        <v>203</v>
      </c>
      <c r="K7" s="161">
        <v>50782</v>
      </c>
      <c r="L7" s="162">
        <f t="shared" ref="L7:L40" si="1">C7-K7</f>
        <v>0</v>
      </c>
      <c r="N7" s="163">
        <v>4416.0402846009529</v>
      </c>
      <c r="O7" s="164">
        <v>4396.335467946572</v>
      </c>
      <c r="P7" s="140"/>
      <c r="Q7" s="404">
        <v>4269.6099999999997</v>
      </c>
      <c r="R7" s="141">
        <f t="shared" ref="R7:R46" si="2">H7-Q7</f>
        <v>1459.4481717818726</v>
      </c>
      <c r="S7" s="429">
        <f t="shared" ref="S7:S46" si="3">(H7-Q7)/Q7</f>
        <v>0.34182236124186349</v>
      </c>
    </row>
    <row r="8" spans="1:20" x14ac:dyDescent="0.35">
      <c r="A8" s="165">
        <v>2</v>
      </c>
      <c r="B8" s="454" t="s">
        <v>204</v>
      </c>
      <c r="C8" s="110">
        <v>341245</v>
      </c>
      <c r="D8" s="111">
        <f t="shared" ref="D8:D40" si="4">C8/$C$48</f>
        <v>0.11262924911413529</v>
      </c>
      <c r="E8" s="105">
        <f>SUM(D8*H$56)</f>
        <v>18338.731358152596</v>
      </c>
      <c r="F8" s="106">
        <v>3000</v>
      </c>
      <c r="G8" s="113"/>
      <c r="H8" s="417">
        <f t="shared" ref="H8:H40" si="5">SUM(E8+F8)</f>
        <v>21338.731358152596</v>
      </c>
      <c r="I8" s="159" t="b">
        <f t="shared" si="0"/>
        <v>1</v>
      </c>
      <c r="J8" s="160" t="s">
        <v>204</v>
      </c>
      <c r="K8" s="161">
        <v>341245</v>
      </c>
      <c r="L8" s="162">
        <f t="shared" si="1"/>
        <v>0</v>
      </c>
      <c r="N8" s="166">
        <v>18634.203386300542</v>
      </c>
      <c r="O8" s="167">
        <v>18596.874715112936</v>
      </c>
      <c r="P8" s="140"/>
      <c r="Q8" s="405">
        <v>17277.669999999998</v>
      </c>
      <c r="R8" s="141">
        <f t="shared" si="2"/>
        <v>4061.0613581525977</v>
      </c>
      <c r="S8" s="429">
        <f t="shared" si="3"/>
        <v>0.23504681812724737</v>
      </c>
    </row>
    <row r="9" spans="1:20" x14ac:dyDescent="0.35">
      <c r="A9" s="165">
        <v>3</v>
      </c>
      <c r="B9" s="454" t="s">
        <v>205</v>
      </c>
      <c r="C9" s="110">
        <v>46872</v>
      </c>
      <c r="D9" s="111">
        <f t="shared" si="4"/>
        <v>1.547028722612126E-2</v>
      </c>
      <c r="E9" s="105">
        <f t="shared" ref="E9:E39" si="6">SUM(D9*H$56)</f>
        <v>2518.9321930558058</v>
      </c>
      <c r="F9" s="106">
        <v>3000</v>
      </c>
      <c r="G9" s="113"/>
      <c r="H9" s="418">
        <f>SUM(E9+F9)</f>
        <v>5518.9321930558053</v>
      </c>
      <c r="I9" s="159" t="b">
        <f t="shared" si="0"/>
        <v>1</v>
      </c>
      <c r="J9" s="160" t="s">
        <v>205</v>
      </c>
      <c r="K9" s="161">
        <v>46872</v>
      </c>
      <c r="L9" s="162">
        <f t="shared" si="1"/>
        <v>0</v>
      </c>
      <c r="N9" s="168">
        <v>4197.0940111539576</v>
      </c>
      <c r="O9" s="167">
        <v>4192.3027396742746</v>
      </c>
      <c r="P9" s="140"/>
      <c r="Q9" s="406">
        <v>4094.5</v>
      </c>
      <c r="R9" s="141">
        <f t="shared" si="2"/>
        <v>1424.4321930558053</v>
      </c>
      <c r="S9" s="429">
        <f t="shared" si="3"/>
        <v>0.34788916670064851</v>
      </c>
    </row>
    <row r="10" spans="1:20" x14ac:dyDescent="0.35">
      <c r="A10" s="165">
        <v>4</v>
      </c>
      <c r="B10" s="454" t="s">
        <v>206</v>
      </c>
      <c r="C10" s="110">
        <v>83430</v>
      </c>
      <c r="D10" s="111">
        <f t="shared" si="4"/>
        <v>2.7536398346033809E-2</v>
      </c>
      <c r="E10" s="105">
        <f>SUM(D10*H$56)</f>
        <v>4483.5832238147696</v>
      </c>
      <c r="F10" s="106">
        <v>3000</v>
      </c>
      <c r="G10" s="113"/>
      <c r="H10" s="417">
        <f t="shared" si="5"/>
        <v>7483.5832238147696</v>
      </c>
      <c r="I10" s="159" t="b">
        <f t="shared" si="0"/>
        <v>1</v>
      </c>
      <c r="J10" s="160" t="s">
        <v>206</v>
      </c>
      <c r="K10" s="161">
        <v>83430</v>
      </c>
      <c r="L10" s="162">
        <f t="shared" si="1"/>
        <v>0</v>
      </c>
      <c r="N10" s="166">
        <v>5905.6334833112287</v>
      </c>
      <c r="O10" s="167">
        <v>5873.04255723603</v>
      </c>
      <c r="P10" s="140"/>
      <c r="Q10" s="405">
        <v>5731.71</v>
      </c>
      <c r="R10" s="141">
        <f t="shared" si="2"/>
        <v>1751.8732238147695</v>
      </c>
      <c r="S10" s="429">
        <f t="shared" si="3"/>
        <v>0.30564582363985082</v>
      </c>
    </row>
    <row r="11" spans="1:20" x14ac:dyDescent="0.35">
      <c r="A11" s="165">
        <v>5</v>
      </c>
      <c r="B11" s="454" t="s">
        <v>207</v>
      </c>
      <c r="C11" s="110">
        <v>111394</v>
      </c>
      <c r="D11" s="111">
        <f t="shared" si="4"/>
        <v>3.6766026098023374E-2</v>
      </c>
      <c r="E11" s="105">
        <f t="shared" si="6"/>
        <v>5986.3870266525528</v>
      </c>
      <c r="F11" s="106">
        <v>3000</v>
      </c>
      <c r="G11" s="113"/>
      <c r="H11" s="417">
        <f t="shared" si="5"/>
        <v>8986.3870266525519</v>
      </c>
      <c r="I11" s="159" t="b">
        <f t="shared" si="0"/>
        <v>1</v>
      </c>
      <c r="J11" s="160" t="s">
        <v>207</v>
      </c>
      <c r="K11" s="161">
        <v>111394</v>
      </c>
      <c r="L11" s="162">
        <f t="shared" si="1"/>
        <v>0</v>
      </c>
      <c r="N11" s="166">
        <v>7364.3700536635988</v>
      </c>
      <c r="O11" s="167">
        <v>7387.9220210561607</v>
      </c>
      <c r="P11" s="140"/>
      <c r="Q11" s="405">
        <v>6984.05</v>
      </c>
      <c r="R11" s="141">
        <f t="shared" si="2"/>
        <v>2002.3370266525517</v>
      </c>
      <c r="S11" s="429">
        <f t="shared" si="3"/>
        <v>0.28670141632040885</v>
      </c>
    </row>
    <row r="12" spans="1:20" x14ac:dyDescent="0.35">
      <c r="A12" s="165">
        <v>6</v>
      </c>
      <c r="B12" s="454" t="s">
        <v>208</v>
      </c>
      <c r="C12" s="110">
        <v>49810</v>
      </c>
      <c r="D12" s="111">
        <f t="shared" si="4"/>
        <v>1.6439985636053506E-2</v>
      </c>
      <c r="E12" s="105">
        <f t="shared" si="6"/>
        <v>2676.8222507277201</v>
      </c>
      <c r="F12" s="106">
        <v>3000</v>
      </c>
      <c r="G12" s="113"/>
      <c r="H12" s="417">
        <f t="shared" si="5"/>
        <v>5676.8222507277205</v>
      </c>
      <c r="I12" s="159" t="b">
        <f t="shared" si="0"/>
        <v>1</v>
      </c>
      <c r="J12" s="160" t="s">
        <v>208</v>
      </c>
      <c r="K12" s="161">
        <v>49810</v>
      </c>
      <c r="L12" s="162">
        <f t="shared" si="1"/>
        <v>0</v>
      </c>
      <c r="N12" s="166">
        <v>4356.0126707089403</v>
      </c>
      <c r="O12" s="167">
        <v>4360.6586239542248</v>
      </c>
      <c r="P12" s="140"/>
      <c r="Q12" s="405">
        <v>4226.08</v>
      </c>
      <c r="R12" s="141">
        <f t="shared" si="2"/>
        <v>1450.7422507277206</v>
      </c>
      <c r="S12" s="429">
        <f t="shared" si="3"/>
        <v>0.34328319642025723</v>
      </c>
    </row>
    <row r="13" spans="1:20" x14ac:dyDescent="0.35">
      <c r="A13" s="165">
        <v>7</v>
      </c>
      <c r="B13" s="454" t="s">
        <v>209</v>
      </c>
      <c r="C13" s="110">
        <v>32943</v>
      </c>
      <c r="D13" s="111">
        <f t="shared" si="4"/>
        <v>1.08729662077597E-2</v>
      </c>
      <c r="E13" s="105">
        <f t="shared" si="6"/>
        <v>1770.3785465915132</v>
      </c>
      <c r="F13" s="106">
        <v>3000</v>
      </c>
      <c r="G13" s="113"/>
      <c r="H13" s="417">
        <f t="shared" si="5"/>
        <v>4770.3785465915134</v>
      </c>
      <c r="I13" s="159" t="b">
        <f t="shared" si="0"/>
        <v>1</v>
      </c>
      <c r="J13" s="160" t="s">
        <v>209</v>
      </c>
      <c r="K13" s="161">
        <v>32943</v>
      </c>
      <c r="L13" s="162">
        <f t="shared" si="1"/>
        <v>0</v>
      </c>
      <c r="N13" s="166">
        <v>3637.6478872992316</v>
      </c>
      <c r="O13" s="167">
        <v>3615.4192635648583</v>
      </c>
      <c r="P13" s="140"/>
      <c r="Q13" s="405">
        <v>3470.71</v>
      </c>
      <c r="R13" s="141">
        <f t="shared" si="2"/>
        <v>1299.6685465915134</v>
      </c>
      <c r="S13" s="429">
        <f t="shared" si="3"/>
        <v>0.37446762956038199</v>
      </c>
    </row>
    <row r="14" spans="1:20" x14ac:dyDescent="0.35">
      <c r="A14" s="165">
        <v>8</v>
      </c>
      <c r="B14" s="454" t="s">
        <v>210</v>
      </c>
      <c r="C14" s="110">
        <v>56564</v>
      </c>
      <c r="D14" s="111">
        <f t="shared" si="4"/>
        <v>1.8669169795577804E-2</v>
      </c>
      <c r="E14" s="105">
        <f t="shared" si="6"/>
        <v>3039.7866651307518</v>
      </c>
      <c r="F14" s="106">
        <v>3000</v>
      </c>
      <c r="G14" s="113"/>
      <c r="H14" s="417">
        <f t="shared" si="5"/>
        <v>6039.7866651307522</v>
      </c>
      <c r="I14" s="159" t="b">
        <f t="shared" si="0"/>
        <v>1</v>
      </c>
      <c r="J14" s="160" t="s">
        <v>210</v>
      </c>
      <c r="K14" s="161">
        <v>56564</v>
      </c>
      <c r="L14" s="162">
        <f t="shared" si="1"/>
        <v>0</v>
      </c>
      <c r="N14" s="166">
        <v>4656.7126211102668</v>
      </c>
      <c r="O14" s="167">
        <v>4665.9451931426247</v>
      </c>
      <c r="P14" s="140"/>
      <c r="Q14" s="405">
        <v>4528.55</v>
      </c>
      <c r="R14" s="141">
        <f t="shared" si="2"/>
        <v>1511.236665130752</v>
      </c>
      <c r="S14" s="429">
        <f t="shared" si="3"/>
        <v>0.33371314551694292</v>
      </c>
    </row>
    <row r="15" spans="1:20" x14ac:dyDescent="0.35">
      <c r="A15" s="165">
        <v>9</v>
      </c>
      <c r="B15" s="455" t="s">
        <v>211</v>
      </c>
      <c r="C15" s="110">
        <v>142732</v>
      </c>
      <c r="D15" s="111">
        <f t="shared" si="4"/>
        <v>4.7109255768022266E-2</v>
      </c>
      <c r="E15" s="105">
        <f t="shared" si="6"/>
        <v>7670.5118147132898</v>
      </c>
      <c r="F15" s="106">
        <v>3000</v>
      </c>
      <c r="G15" s="113"/>
      <c r="H15" s="417">
        <f t="shared" si="5"/>
        <v>10670.511814713289</v>
      </c>
      <c r="I15" s="159" t="b">
        <f t="shared" si="0"/>
        <v>1</v>
      </c>
      <c r="J15" s="160" t="s">
        <v>211</v>
      </c>
      <c r="K15" s="161">
        <v>142732</v>
      </c>
      <c r="L15" s="162">
        <f t="shared" si="1"/>
        <v>0</v>
      </c>
      <c r="N15" s="166">
        <v>8612.2608008055722</v>
      </c>
      <c r="O15" s="169">
        <v>8639.6154401399981</v>
      </c>
      <c r="P15" s="140"/>
      <c r="Q15" s="405">
        <v>8387.48</v>
      </c>
      <c r="R15" s="141">
        <f t="shared" si="2"/>
        <v>2283.0318147132894</v>
      </c>
      <c r="S15" s="429">
        <f t="shared" si="3"/>
        <v>0.27219520221965232</v>
      </c>
      <c r="T15" s="140" t="s">
        <v>360</v>
      </c>
    </row>
    <row r="16" spans="1:20" x14ac:dyDescent="0.35">
      <c r="A16" s="165">
        <v>10</v>
      </c>
      <c r="B16" s="454" t="s">
        <v>212</v>
      </c>
      <c r="C16" s="110">
        <v>170526</v>
      </c>
      <c r="D16" s="111">
        <f t="shared" si="4"/>
        <v>5.6282774354018475E-2</v>
      </c>
      <c r="E16" s="105">
        <f t="shared" si="6"/>
        <v>9164.1797054325471</v>
      </c>
      <c r="F16" s="106">
        <v>3000</v>
      </c>
      <c r="G16" s="113"/>
      <c r="H16" s="417">
        <f t="shared" si="5"/>
        <v>12164.179705432547</v>
      </c>
      <c r="I16" s="159" t="b">
        <f t="shared" si="0"/>
        <v>1</v>
      </c>
      <c r="J16" s="160" t="s">
        <v>212</v>
      </c>
      <c r="K16" s="161">
        <v>170526</v>
      </c>
      <c r="L16" s="162">
        <f t="shared" si="1"/>
        <v>0</v>
      </c>
      <c r="N16" s="166">
        <v>10159.540442819249</v>
      </c>
      <c r="O16" s="167">
        <v>10161.796641461155</v>
      </c>
      <c r="P16" s="140"/>
      <c r="Q16" s="405">
        <v>9632.2099999999991</v>
      </c>
      <c r="R16" s="141">
        <f t="shared" si="2"/>
        <v>2531.9697054325479</v>
      </c>
      <c r="S16" s="429">
        <f t="shared" si="3"/>
        <v>0.26286487788706309</v>
      </c>
    </row>
    <row r="17" spans="1:19" x14ac:dyDescent="0.35">
      <c r="A17" s="165">
        <v>11</v>
      </c>
      <c r="B17" s="454" t="s">
        <v>213</v>
      </c>
      <c r="C17" s="110">
        <v>196100</v>
      </c>
      <c r="D17" s="111">
        <f t="shared" si="4"/>
        <v>6.4723573242924964E-2</v>
      </c>
      <c r="E17" s="105">
        <f t="shared" si="6"/>
        <v>10538.543332015777</v>
      </c>
      <c r="F17" s="106">
        <v>3000</v>
      </c>
      <c r="G17" s="113"/>
      <c r="H17" s="417">
        <f t="shared" si="5"/>
        <v>13538.543332015777</v>
      </c>
      <c r="I17" s="159" t="b">
        <f>J17=B17</f>
        <v>1</v>
      </c>
      <c r="J17" s="160" t="s">
        <v>213</v>
      </c>
      <c r="K17" s="161">
        <v>196100</v>
      </c>
      <c r="L17" s="162">
        <f t="shared" si="1"/>
        <v>0</v>
      </c>
      <c r="N17" s="166">
        <v>11301.938043238364</v>
      </c>
      <c r="O17" s="167">
        <v>11385.530875810056</v>
      </c>
      <c r="P17" s="140"/>
      <c r="Q17" s="405">
        <v>10777.51</v>
      </c>
      <c r="R17" s="141">
        <f t="shared" si="2"/>
        <v>2761.033332015777</v>
      </c>
      <c r="S17" s="429">
        <f t="shared" si="3"/>
        <v>0.25618471539490817</v>
      </c>
    </row>
    <row r="18" spans="1:19" x14ac:dyDescent="0.35">
      <c r="A18" s="165">
        <v>12</v>
      </c>
      <c r="B18" s="454" t="s">
        <v>214</v>
      </c>
      <c r="C18" s="110">
        <v>310250</v>
      </c>
      <c r="D18" s="111">
        <f t="shared" si="4"/>
        <v>0.10239922793787593</v>
      </c>
      <c r="E18" s="105">
        <f t="shared" si="6"/>
        <v>16673.039616307469</v>
      </c>
      <c r="F18" s="106">
        <v>3000</v>
      </c>
      <c r="G18" s="113"/>
      <c r="H18" s="417">
        <f t="shared" si="5"/>
        <v>19673.039616307469</v>
      </c>
      <c r="I18" s="159" t="b">
        <f t="shared" si="0"/>
        <v>1</v>
      </c>
      <c r="J18" s="160" t="s">
        <v>214</v>
      </c>
      <c r="K18" s="161">
        <v>310250</v>
      </c>
      <c r="L18" s="162">
        <f t="shared" si="1"/>
        <v>0</v>
      </c>
      <c r="N18" s="166">
        <v>14799.178668506982</v>
      </c>
      <c r="O18" s="167">
        <v>15102.300117945439</v>
      </c>
      <c r="P18" s="140"/>
      <c r="Q18" s="405">
        <v>15889.59</v>
      </c>
      <c r="R18" s="141">
        <f t="shared" si="2"/>
        <v>3783.4496163074691</v>
      </c>
      <c r="S18" s="429">
        <f t="shared" si="3"/>
        <v>0.23810869986623123</v>
      </c>
    </row>
    <row r="19" spans="1:19" x14ac:dyDescent="0.35">
      <c r="A19" s="165">
        <v>13</v>
      </c>
      <c r="B19" s="454" t="s">
        <v>215</v>
      </c>
      <c r="C19" s="110">
        <v>22706</v>
      </c>
      <c r="D19" s="111">
        <f t="shared" si="4"/>
        <v>7.4942042532068036E-3</v>
      </c>
      <c r="E19" s="105">
        <f t="shared" si="6"/>
        <v>1220.2354150777676</v>
      </c>
      <c r="F19" s="106">
        <v>3000</v>
      </c>
      <c r="G19" s="113"/>
      <c r="H19" s="417">
        <f t="shared" si="5"/>
        <v>4220.2354150777674</v>
      </c>
      <c r="I19" s="159" t="b">
        <f t="shared" si="0"/>
        <v>1</v>
      </c>
      <c r="J19" s="160" t="s">
        <v>215</v>
      </c>
      <c r="K19" s="161">
        <v>22706</v>
      </c>
      <c r="L19" s="162">
        <f t="shared" si="1"/>
        <v>0</v>
      </c>
      <c r="N19" s="166">
        <v>3136.9183218068956</v>
      </c>
      <c r="O19" s="167">
        <v>3116.1745153144352</v>
      </c>
      <c r="P19" s="140"/>
      <c r="Q19" s="405">
        <v>3012.25</v>
      </c>
      <c r="R19" s="141">
        <f t="shared" si="2"/>
        <v>1207.9854150777674</v>
      </c>
      <c r="S19" s="429">
        <f t="shared" si="3"/>
        <v>0.40102428917844379</v>
      </c>
    </row>
    <row r="20" spans="1:19" x14ac:dyDescent="0.35">
      <c r="A20" s="165">
        <v>14</v>
      </c>
      <c r="B20" s="454" t="s">
        <v>216</v>
      </c>
      <c r="C20" s="110">
        <v>30750</v>
      </c>
      <c r="D20" s="111">
        <f t="shared" si="4"/>
        <v>1.0149157966445398E-2</v>
      </c>
      <c r="E20" s="105">
        <f t="shared" si="6"/>
        <v>1652.5252802625455</v>
      </c>
      <c r="F20" s="106">
        <v>3000</v>
      </c>
      <c r="G20" s="113"/>
      <c r="H20" s="417">
        <f t="shared" si="5"/>
        <v>4652.5252802625455</v>
      </c>
      <c r="I20" s="159" t="b">
        <f t="shared" si="0"/>
        <v>1</v>
      </c>
      <c r="J20" s="160" t="s">
        <v>216</v>
      </c>
      <c r="K20" s="161">
        <v>30750</v>
      </c>
      <c r="L20" s="162">
        <f t="shared" si="1"/>
        <v>0</v>
      </c>
      <c r="N20" s="166">
        <v>3538.5695479891715</v>
      </c>
      <c r="O20" s="167">
        <v>3539.7215039023395</v>
      </c>
      <c r="P20" s="140"/>
      <c r="Q20" s="405">
        <v>3372.49</v>
      </c>
      <c r="R20" s="141">
        <f t="shared" si="2"/>
        <v>1280.0352802625457</v>
      </c>
      <c r="S20" s="429">
        <f t="shared" si="3"/>
        <v>0.37955198688878122</v>
      </c>
    </row>
    <row r="21" spans="1:19" x14ac:dyDescent="0.35">
      <c r="A21" s="165">
        <v>15</v>
      </c>
      <c r="B21" s="454" t="s">
        <v>217</v>
      </c>
      <c r="C21" s="110">
        <v>64316</v>
      </c>
      <c r="D21" s="111">
        <f t="shared" si="4"/>
        <v>2.122774776487487E-2</v>
      </c>
      <c r="E21" s="105">
        <f t="shared" si="6"/>
        <v>3456.3842577354753</v>
      </c>
      <c r="F21" s="106">
        <v>3000</v>
      </c>
      <c r="G21" s="113"/>
      <c r="H21" s="417">
        <f t="shared" si="5"/>
        <v>6456.3842577354753</v>
      </c>
      <c r="I21" s="159" t="b">
        <f t="shared" si="0"/>
        <v>1</v>
      </c>
      <c r="J21" s="160" t="s">
        <v>217</v>
      </c>
      <c r="K21" s="161">
        <v>64316</v>
      </c>
      <c r="L21" s="162">
        <f t="shared" si="1"/>
        <v>0</v>
      </c>
      <c r="N21" s="166">
        <v>5135.0137723636999</v>
      </c>
      <c r="O21" s="167">
        <v>5102.1084750076161</v>
      </c>
      <c r="P21" s="140"/>
      <c r="Q21" s="405">
        <v>4875.71</v>
      </c>
      <c r="R21" s="141">
        <f t="shared" si="2"/>
        <v>1580.6742577354753</v>
      </c>
      <c r="S21" s="429">
        <f t="shared" si="3"/>
        <v>0.32419365748485357</v>
      </c>
    </row>
    <row r="22" spans="1:19" x14ac:dyDescent="0.35">
      <c r="A22" s="165">
        <v>16</v>
      </c>
      <c r="B22" s="454" t="s">
        <v>218</v>
      </c>
      <c r="C22" s="110">
        <v>17514</v>
      </c>
      <c r="D22" s="111">
        <f t="shared" si="4"/>
        <v>5.7805643129861693E-3</v>
      </c>
      <c r="E22" s="105">
        <f t="shared" si="6"/>
        <v>941.21391084612094</v>
      </c>
      <c r="F22" s="106">
        <v>3000</v>
      </c>
      <c r="G22" s="113"/>
      <c r="H22" s="417">
        <f t="shared" si="5"/>
        <v>3941.2139108461211</v>
      </c>
      <c r="I22" s="159" t="b">
        <f t="shared" si="0"/>
        <v>1</v>
      </c>
      <c r="J22" s="160" t="s">
        <v>218</v>
      </c>
      <c r="K22" s="161">
        <v>17514</v>
      </c>
      <c r="L22" s="162">
        <f t="shared" si="1"/>
        <v>0</v>
      </c>
      <c r="N22" s="166">
        <v>2834.4859051699959</v>
      </c>
      <c r="O22" s="167">
        <v>2834.2719915407074</v>
      </c>
      <c r="P22" s="140"/>
      <c r="Q22" s="405">
        <v>2779.74</v>
      </c>
      <c r="R22" s="141">
        <f t="shared" si="2"/>
        <v>1161.4739108461213</v>
      </c>
      <c r="S22" s="429">
        <f t="shared" si="3"/>
        <v>0.41783544894347002</v>
      </c>
    </row>
    <row r="23" spans="1:19" x14ac:dyDescent="0.35">
      <c r="A23" s="165">
        <v>17</v>
      </c>
      <c r="B23" s="454" t="s">
        <v>219</v>
      </c>
      <c r="C23" s="110">
        <v>61792</v>
      </c>
      <c r="D23" s="111">
        <f t="shared" si="4"/>
        <v>2.0394691676832326E-2</v>
      </c>
      <c r="E23" s="105">
        <f t="shared" si="6"/>
        <v>3320.7428331051447</v>
      </c>
      <c r="F23" s="106">
        <v>3000</v>
      </c>
      <c r="G23" s="113"/>
      <c r="H23" s="417">
        <f t="shared" si="5"/>
        <v>6320.7428331051451</v>
      </c>
      <c r="I23" s="159" t="b">
        <f t="shared" si="0"/>
        <v>1</v>
      </c>
      <c r="J23" s="160" t="s">
        <v>219</v>
      </c>
      <c r="K23" s="161">
        <v>61792</v>
      </c>
      <c r="L23" s="162">
        <f t="shared" si="1"/>
        <v>0</v>
      </c>
      <c r="N23" s="166">
        <v>5024.5105205812124</v>
      </c>
      <c r="O23" s="167">
        <v>5012.2231620994353</v>
      </c>
      <c r="P23" s="140"/>
      <c r="Q23" s="405">
        <v>4762.68</v>
      </c>
      <c r="R23" s="141">
        <f t="shared" si="2"/>
        <v>1558.0628331051448</v>
      </c>
      <c r="S23" s="429">
        <f t="shared" si="3"/>
        <v>0.32713993657040674</v>
      </c>
    </row>
    <row r="24" spans="1:19" x14ac:dyDescent="0.35">
      <c r="A24" s="165">
        <v>18</v>
      </c>
      <c r="B24" s="454" t="s">
        <v>220</v>
      </c>
      <c r="C24" s="110">
        <v>86775</v>
      </c>
      <c r="D24" s="111">
        <f t="shared" si="4"/>
        <v>2.8640428700432503E-2</v>
      </c>
      <c r="E24" s="105">
        <f t="shared" si="6"/>
        <v>4663.3457299116226</v>
      </c>
      <c r="F24" s="106">
        <v>3000</v>
      </c>
      <c r="G24" s="113"/>
      <c r="H24" s="417">
        <f t="shared" si="5"/>
        <v>7663.3457299116226</v>
      </c>
      <c r="I24" s="159" t="b">
        <f t="shared" si="0"/>
        <v>1</v>
      </c>
      <c r="J24" s="160" t="s">
        <v>220</v>
      </c>
      <c r="K24" s="161">
        <v>86775</v>
      </c>
      <c r="L24" s="162">
        <f t="shared" si="1"/>
        <v>0</v>
      </c>
      <c r="N24" s="166">
        <v>6041.9832583919924</v>
      </c>
      <c r="O24" s="167">
        <v>5998.4198600226073</v>
      </c>
      <c r="P24" s="140"/>
      <c r="Q24" s="405">
        <v>5881.51</v>
      </c>
      <c r="R24" s="141">
        <f t="shared" si="2"/>
        <v>1781.8357299116224</v>
      </c>
      <c r="S24" s="429">
        <f t="shared" si="3"/>
        <v>0.30295548760634977</v>
      </c>
    </row>
    <row r="25" spans="1:19" x14ac:dyDescent="0.35">
      <c r="A25" s="165">
        <v>19</v>
      </c>
      <c r="B25" s="454" t="s">
        <v>221</v>
      </c>
      <c r="C25" s="110">
        <v>15332</v>
      </c>
      <c r="D25" s="111">
        <f t="shared" si="4"/>
        <v>5.060386664765556E-3</v>
      </c>
      <c r="E25" s="105">
        <f t="shared" si="6"/>
        <v>823.95179177188118</v>
      </c>
      <c r="F25" s="106">
        <v>3000</v>
      </c>
      <c r="G25" s="113"/>
      <c r="H25" s="417">
        <f t="shared" si="5"/>
        <v>3823.9517917718813</v>
      </c>
      <c r="I25" s="159" t="b">
        <f t="shared" si="0"/>
        <v>1</v>
      </c>
      <c r="J25" s="160" t="s">
        <v>221</v>
      </c>
      <c r="K25" s="161">
        <v>15332</v>
      </c>
      <c r="L25" s="162">
        <f t="shared" si="1"/>
        <v>0</v>
      </c>
      <c r="N25" s="166">
        <v>2806.6727985772854</v>
      </c>
      <c r="O25" s="167">
        <v>2799.5656316465975</v>
      </c>
      <c r="P25" s="140"/>
      <c r="Q25" s="405">
        <v>2682.02</v>
      </c>
      <c r="R25" s="141">
        <f t="shared" si="2"/>
        <v>1141.9317917718813</v>
      </c>
      <c r="S25" s="429">
        <f t="shared" si="3"/>
        <v>0.42577303367308272</v>
      </c>
    </row>
    <row r="26" spans="1:19" x14ac:dyDescent="0.35">
      <c r="A26" s="165">
        <v>20</v>
      </c>
      <c r="B26" s="454" t="s">
        <v>222</v>
      </c>
      <c r="C26" s="110">
        <v>11873</v>
      </c>
      <c r="D26" s="111">
        <f t="shared" si="4"/>
        <v>3.9187301637595515E-3</v>
      </c>
      <c r="E26" s="105">
        <f t="shared" si="6"/>
        <v>638.06285048966504</v>
      </c>
      <c r="F26" s="106">
        <v>3000</v>
      </c>
      <c r="G26" s="113"/>
      <c r="H26" s="417">
        <f t="shared" si="5"/>
        <v>3638.0628504896649</v>
      </c>
      <c r="I26" s="159" t="b">
        <f t="shared" si="0"/>
        <v>1</v>
      </c>
      <c r="J26" s="160" t="s">
        <v>222</v>
      </c>
      <c r="K26" s="161">
        <v>11873</v>
      </c>
      <c r="L26" s="162">
        <f t="shared" si="1"/>
        <v>0</v>
      </c>
      <c r="N26" s="166">
        <v>2623.8741990184599</v>
      </c>
      <c r="O26" s="167">
        <v>2618.1775323331744</v>
      </c>
      <c r="P26" s="140"/>
      <c r="Q26" s="405">
        <v>2527.11</v>
      </c>
      <c r="R26" s="141">
        <f t="shared" si="2"/>
        <v>1110.9528504896648</v>
      </c>
      <c r="S26" s="429">
        <f t="shared" si="3"/>
        <v>0.43961396634482264</v>
      </c>
    </row>
    <row r="27" spans="1:19" x14ac:dyDescent="0.35">
      <c r="A27" s="165">
        <v>21</v>
      </c>
      <c r="B27" s="454" t="s">
        <v>223</v>
      </c>
      <c r="C27" s="110">
        <v>92515</v>
      </c>
      <c r="D27" s="111">
        <f t="shared" si="4"/>
        <v>3.053493818750231E-2</v>
      </c>
      <c r="E27" s="105">
        <f t="shared" si="6"/>
        <v>4971.8171155606306</v>
      </c>
      <c r="F27" s="106">
        <v>3000</v>
      </c>
      <c r="G27" s="113"/>
      <c r="H27" s="417">
        <f t="shared" si="5"/>
        <v>7971.8171155606306</v>
      </c>
      <c r="I27" s="159" t="b">
        <f t="shared" si="0"/>
        <v>1</v>
      </c>
      <c r="J27" s="160" t="s">
        <v>223</v>
      </c>
      <c r="K27" s="161">
        <v>92515</v>
      </c>
      <c r="L27" s="162">
        <f t="shared" si="1"/>
        <v>0</v>
      </c>
      <c r="N27" s="166">
        <v>6490.5983665818248</v>
      </c>
      <c r="O27" s="167">
        <v>6440.0363382491223</v>
      </c>
      <c r="P27" s="140"/>
      <c r="Q27" s="405">
        <v>6138.57</v>
      </c>
      <c r="R27" s="141">
        <f t="shared" si="2"/>
        <v>1833.2471155606308</v>
      </c>
      <c r="S27" s="429">
        <f t="shared" si="3"/>
        <v>0.29864400268476715</v>
      </c>
    </row>
    <row r="28" spans="1:19" x14ac:dyDescent="0.35">
      <c r="A28" s="165">
        <v>22</v>
      </c>
      <c r="B28" s="454" t="s">
        <v>224</v>
      </c>
      <c r="C28" s="110">
        <v>83727</v>
      </c>
      <c r="D28" s="111">
        <f t="shared" si="4"/>
        <v>2.7634424359563377E-2</v>
      </c>
      <c r="E28" s="105">
        <f t="shared" si="6"/>
        <v>4499.5441996924274</v>
      </c>
      <c r="F28" s="106">
        <v>3000</v>
      </c>
      <c r="G28" s="113"/>
      <c r="H28" s="417">
        <f t="shared" si="5"/>
        <v>7499.5441996924274</v>
      </c>
      <c r="I28" s="159" t="b">
        <f t="shared" si="0"/>
        <v>1</v>
      </c>
      <c r="J28" s="160" t="s">
        <v>224</v>
      </c>
      <c r="K28" s="161">
        <v>83727</v>
      </c>
      <c r="L28" s="162">
        <f t="shared" si="1"/>
        <v>0</v>
      </c>
      <c r="N28" s="166">
        <v>6104.1179258137545</v>
      </c>
      <c r="O28" s="167">
        <v>6047.8221219757415</v>
      </c>
      <c r="P28" s="140"/>
      <c r="Q28" s="405">
        <v>5745.01</v>
      </c>
      <c r="R28" s="141">
        <f t="shared" si="2"/>
        <v>1754.5341996924271</v>
      </c>
      <c r="S28" s="429">
        <f t="shared" si="3"/>
        <v>0.30540141787262809</v>
      </c>
    </row>
    <row r="29" spans="1:19" x14ac:dyDescent="0.35">
      <c r="A29" s="165">
        <v>23</v>
      </c>
      <c r="B29" s="454" t="s">
        <v>225</v>
      </c>
      <c r="C29" s="110">
        <v>137676</v>
      </c>
      <c r="D29" s="111">
        <f t="shared" si="4"/>
        <v>4.5440503160596314E-2</v>
      </c>
      <c r="E29" s="105">
        <f t="shared" si="6"/>
        <v>7398.7990401764619</v>
      </c>
      <c r="F29" s="106">
        <v>3000</v>
      </c>
      <c r="G29" s="113"/>
      <c r="H29" s="417">
        <f t="shared" si="5"/>
        <v>10398.799040176462</v>
      </c>
      <c r="I29" s="159" t="b">
        <f t="shared" si="0"/>
        <v>1</v>
      </c>
      <c r="J29" s="160" t="s">
        <v>225</v>
      </c>
      <c r="K29" s="161">
        <v>137676</v>
      </c>
      <c r="L29" s="162">
        <f t="shared" si="1"/>
        <v>0</v>
      </c>
      <c r="N29" s="166">
        <v>8515.5704554958957</v>
      </c>
      <c r="O29" s="167">
        <v>8556.5235159194799</v>
      </c>
      <c r="P29" s="140"/>
      <c r="Q29" s="405">
        <v>8161.06</v>
      </c>
      <c r="R29" s="141">
        <f t="shared" si="2"/>
        <v>2237.7390401764615</v>
      </c>
      <c r="S29" s="429">
        <f t="shared" si="3"/>
        <v>0.27419710677001041</v>
      </c>
    </row>
    <row r="30" spans="1:19" x14ac:dyDescent="0.35">
      <c r="A30" s="165">
        <v>24</v>
      </c>
      <c r="B30" s="454" t="s">
        <v>226</v>
      </c>
      <c r="C30" s="110">
        <v>51204</v>
      </c>
      <c r="D30" s="111">
        <f t="shared" si="4"/>
        <v>1.690008079719903E-2</v>
      </c>
      <c r="E30" s="105">
        <f t="shared" si="6"/>
        <v>2751.736730099622</v>
      </c>
      <c r="F30" s="106">
        <v>3000</v>
      </c>
      <c r="G30" s="113"/>
      <c r="H30" s="417">
        <f t="shared" si="5"/>
        <v>5751.736730099622</v>
      </c>
      <c r="I30" s="159" t="b">
        <f t="shared" si="0"/>
        <v>1</v>
      </c>
      <c r="J30" s="160" t="s">
        <v>226</v>
      </c>
      <c r="K30" s="161">
        <v>51204</v>
      </c>
      <c r="L30" s="162">
        <f t="shared" si="1"/>
        <v>0</v>
      </c>
      <c r="N30" s="166">
        <v>4479.720124611199</v>
      </c>
      <c r="O30" s="167">
        <v>4463.3450842534412</v>
      </c>
      <c r="P30" s="140"/>
      <c r="Q30" s="405">
        <v>4288.5</v>
      </c>
      <c r="R30" s="141">
        <f t="shared" si="2"/>
        <v>1463.236730099622</v>
      </c>
      <c r="S30" s="429">
        <f t="shared" si="3"/>
        <v>0.34120012360956559</v>
      </c>
    </row>
    <row r="31" spans="1:19" x14ac:dyDescent="0.35">
      <c r="A31" s="165">
        <v>25</v>
      </c>
      <c r="B31" s="454" t="s">
        <v>227</v>
      </c>
      <c r="C31" s="110">
        <v>47279</v>
      </c>
      <c r="D31" s="111">
        <f t="shared" si="4"/>
        <v>1.5604619170587707E-2</v>
      </c>
      <c r="E31" s="105">
        <f t="shared" si="6"/>
        <v>2540.8046414807441</v>
      </c>
      <c r="F31" s="106">
        <v>3000</v>
      </c>
      <c r="G31" s="113"/>
      <c r="H31" s="417">
        <f t="shared" si="5"/>
        <v>5540.8046414807441</v>
      </c>
      <c r="I31" s="159" t="b">
        <f t="shared" si="0"/>
        <v>1</v>
      </c>
      <c r="J31" s="160" t="s">
        <v>227</v>
      </c>
      <c r="K31" s="161">
        <v>47279</v>
      </c>
      <c r="L31" s="162">
        <f t="shared" si="1"/>
        <v>0</v>
      </c>
      <c r="N31" s="166">
        <v>4339.7181234122008</v>
      </c>
      <c r="O31" s="167">
        <v>4338.5223438087141</v>
      </c>
      <c r="P31" s="140"/>
      <c r="Q31" s="405">
        <v>4112.7299999999996</v>
      </c>
      <c r="R31" s="141">
        <f t="shared" si="2"/>
        <v>1428.0746414807445</v>
      </c>
      <c r="S31" s="429">
        <f t="shared" si="3"/>
        <v>0.34723277275210013</v>
      </c>
    </row>
    <row r="32" spans="1:19" x14ac:dyDescent="0.35">
      <c r="A32" s="165">
        <v>26</v>
      </c>
      <c r="B32" s="454" t="s">
        <v>228</v>
      </c>
      <c r="C32" s="110">
        <v>63380</v>
      </c>
      <c r="D32" s="111">
        <f t="shared" si="4"/>
        <v>2.0918817297993799E-2</v>
      </c>
      <c r="E32" s="105">
        <f t="shared" si="6"/>
        <v>3406.0830004240693</v>
      </c>
      <c r="F32" s="106">
        <v>3000</v>
      </c>
      <c r="G32" s="113"/>
      <c r="H32" s="417">
        <f t="shared" si="5"/>
        <v>6406.0830004240688</v>
      </c>
      <c r="I32" s="159" t="b">
        <f t="shared" si="0"/>
        <v>1</v>
      </c>
      <c r="J32" s="160" t="s">
        <v>228</v>
      </c>
      <c r="K32" s="161">
        <v>63380</v>
      </c>
      <c r="L32" s="162">
        <f t="shared" si="1"/>
        <v>0</v>
      </c>
      <c r="N32" s="166">
        <v>5083.367549178919</v>
      </c>
      <c r="O32" s="167">
        <v>5068.1415315693066</v>
      </c>
      <c r="P32" s="140"/>
      <c r="Q32" s="405">
        <v>4833.79</v>
      </c>
      <c r="R32" s="141">
        <f t="shared" si="2"/>
        <v>1572.2930004240689</v>
      </c>
      <c r="S32" s="429">
        <f t="shared" si="3"/>
        <v>0.32527126756107916</v>
      </c>
    </row>
    <row r="33" spans="1:19" x14ac:dyDescent="0.35">
      <c r="A33" s="165">
        <v>27</v>
      </c>
      <c r="B33" s="454" t="s">
        <v>229</v>
      </c>
      <c r="C33" s="110">
        <v>34798</v>
      </c>
      <c r="D33" s="111">
        <f t="shared" si="4"/>
        <v>1.1485216224922504E-2</v>
      </c>
      <c r="E33" s="105">
        <f t="shared" si="6"/>
        <v>1870.0674700024736</v>
      </c>
      <c r="F33" s="106">
        <v>3000</v>
      </c>
      <c r="G33" s="113"/>
      <c r="H33" s="417">
        <f t="shared" si="5"/>
        <v>4870.0674700024738</v>
      </c>
      <c r="I33" s="159" t="b">
        <f t="shared" si="0"/>
        <v>1</v>
      </c>
      <c r="J33" s="160" t="s">
        <v>229</v>
      </c>
      <c r="K33" s="161">
        <v>34798</v>
      </c>
      <c r="L33" s="162">
        <f t="shared" si="1"/>
        <v>0</v>
      </c>
      <c r="N33" s="166">
        <v>3759.9506388483233</v>
      </c>
      <c r="O33" s="167">
        <v>3762.0085759271969</v>
      </c>
      <c r="P33" s="140"/>
      <c r="Q33" s="405">
        <v>3553.78</v>
      </c>
      <c r="R33" s="141">
        <f t="shared" si="2"/>
        <v>1316.2874700024736</v>
      </c>
      <c r="S33" s="429">
        <f t="shared" si="3"/>
        <v>0.37039081485136205</v>
      </c>
    </row>
    <row r="34" spans="1:19" x14ac:dyDescent="0.35">
      <c r="A34" s="165">
        <v>28</v>
      </c>
      <c r="B34" s="454" t="s">
        <v>230</v>
      </c>
      <c r="C34" s="110">
        <v>308459</v>
      </c>
      <c r="D34" s="111">
        <f t="shared" si="4"/>
        <v>0.10180810137144004</v>
      </c>
      <c r="E34" s="105">
        <f t="shared" si="6"/>
        <v>16576.79009510584</v>
      </c>
      <c r="F34" s="106">
        <v>3000</v>
      </c>
      <c r="G34" s="113"/>
      <c r="H34" s="417">
        <f t="shared" si="5"/>
        <v>19576.79009510584</v>
      </c>
      <c r="I34" s="159" t="b">
        <f t="shared" si="0"/>
        <v>1</v>
      </c>
      <c r="J34" s="160" t="s">
        <v>230</v>
      </c>
      <c r="K34" s="161">
        <v>308459</v>
      </c>
      <c r="L34" s="162">
        <f t="shared" si="1"/>
        <v>0</v>
      </c>
      <c r="N34" s="166">
        <v>17599.452809545804</v>
      </c>
      <c r="O34" s="167">
        <v>17567.56079511093</v>
      </c>
      <c r="P34" s="140"/>
      <c r="Q34" s="405">
        <v>15809.38</v>
      </c>
      <c r="R34" s="141">
        <f t="shared" si="2"/>
        <v>3767.4100951058408</v>
      </c>
      <c r="S34" s="429">
        <f t="shared" si="3"/>
        <v>0.23830220382493436</v>
      </c>
    </row>
    <row r="35" spans="1:19" x14ac:dyDescent="0.35">
      <c r="A35" s="165">
        <v>29</v>
      </c>
      <c r="B35" s="454" t="s">
        <v>231</v>
      </c>
      <c r="C35" s="110">
        <v>24846</v>
      </c>
      <c r="D35" s="111">
        <f t="shared" si="4"/>
        <v>8.2005196368878826E-3</v>
      </c>
      <c r="E35" s="105">
        <f t="shared" si="6"/>
        <v>1335.2404264521367</v>
      </c>
      <c r="F35" s="106">
        <v>3000</v>
      </c>
      <c r="G35" s="113"/>
      <c r="H35" s="417">
        <f t="shared" si="5"/>
        <v>4335.2404264521365</v>
      </c>
      <c r="I35" s="159" t="b">
        <f t="shared" si="0"/>
        <v>1</v>
      </c>
      <c r="J35" s="160" t="s">
        <v>231</v>
      </c>
      <c r="K35" s="161">
        <v>24846</v>
      </c>
      <c r="L35" s="162">
        <f t="shared" si="1"/>
        <v>0</v>
      </c>
      <c r="N35" s="166">
        <v>3228.1303279392191</v>
      </c>
      <c r="O35" s="167">
        <v>3238.594152277813</v>
      </c>
      <c r="P35" s="140"/>
      <c r="Q35" s="405">
        <v>3108.09</v>
      </c>
      <c r="R35" s="141">
        <f t="shared" si="2"/>
        <v>1227.1504264521363</v>
      </c>
      <c r="S35" s="429">
        <f t="shared" si="3"/>
        <v>0.39482461140190156</v>
      </c>
    </row>
    <row r="36" spans="1:19" x14ac:dyDescent="0.35">
      <c r="A36" s="165">
        <v>30</v>
      </c>
      <c r="B36" s="454" t="s">
        <v>232</v>
      </c>
      <c r="C36" s="110">
        <v>39275</v>
      </c>
      <c r="D36" s="111">
        <f t="shared" si="4"/>
        <v>1.2962867614053433E-2</v>
      </c>
      <c r="E36" s="105">
        <f t="shared" si="6"/>
        <v>2110.6644026767958</v>
      </c>
      <c r="F36" s="106">
        <v>3000</v>
      </c>
      <c r="G36" s="113"/>
      <c r="H36" s="417">
        <f t="shared" si="5"/>
        <v>5110.6644026767954</v>
      </c>
      <c r="I36" s="159" t="b">
        <f t="shared" si="0"/>
        <v>1</v>
      </c>
      <c r="J36" s="160" t="s">
        <v>232</v>
      </c>
      <c r="K36" s="161">
        <v>39275</v>
      </c>
      <c r="L36" s="162">
        <f t="shared" si="1"/>
        <v>0</v>
      </c>
      <c r="N36" s="166">
        <v>3936.5685480532129</v>
      </c>
      <c r="O36" s="167">
        <v>3889.5117010241993</v>
      </c>
      <c r="P36" s="140"/>
      <c r="Q36" s="405">
        <v>3754.28</v>
      </c>
      <c r="R36" s="141">
        <f t="shared" si="2"/>
        <v>1356.3844026767952</v>
      </c>
      <c r="S36" s="429">
        <f t="shared" si="3"/>
        <v>0.36129015488370475</v>
      </c>
    </row>
    <row r="37" spans="1:19" x14ac:dyDescent="0.35">
      <c r="A37" s="165">
        <v>31</v>
      </c>
      <c r="B37" s="454" t="s">
        <v>233</v>
      </c>
      <c r="C37" s="110">
        <v>79535</v>
      </c>
      <c r="D37" s="111">
        <f t="shared" si="4"/>
        <v>2.6250838336950723E-2</v>
      </c>
      <c r="E37" s="105">
        <f t="shared" si="6"/>
        <v>4274.2633549815137</v>
      </c>
      <c r="F37" s="106">
        <v>3000</v>
      </c>
      <c r="G37" s="113"/>
      <c r="H37" s="417">
        <f t="shared" si="5"/>
        <v>7274.2633549815137</v>
      </c>
      <c r="I37" s="159" t="b">
        <f t="shared" si="0"/>
        <v>1</v>
      </c>
      <c r="J37" s="160" t="s">
        <v>233</v>
      </c>
      <c r="K37" s="161">
        <v>79535</v>
      </c>
      <c r="L37" s="162">
        <f t="shared" si="1"/>
        <v>0</v>
      </c>
      <c r="N37" s="166">
        <v>5829.9200264755164</v>
      </c>
      <c r="O37" s="167">
        <v>5798.3614952002354</v>
      </c>
      <c r="P37" s="140"/>
      <c r="Q37" s="405">
        <v>5557.28</v>
      </c>
      <c r="R37" s="141">
        <f t="shared" si="2"/>
        <v>1716.9833549815139</v>
      </c>
      <c r="S37" s="429">
        <f t="shared" si="3"/>
        <v>0.30896110237049673</v>
      </c>
    </row>
    <row r="38" spans="1:19" x14ac:dyDescent="0.35">
      <c r="A38" s="165">
        <v>32</v>
      </c>
      <c r="B38" s="454" t="s">
        <v>234</v>
      </c>
      <c r="C38" s="110">
        <v>5782</v>
      </c>
      <c r="D38" s="111">
        <f t="shared" si="4"/>
        <v>1.908371751609343E-3</v>
      </c>
      <c r="E38" s="105">
        <f t="shared" si="6"/>
        <v>310.72849334887928</v>
      </c>
      <c r="F38" s="106">
        <v>3000</v>
      </c>
      <c r="G38" s="113"/>
      <c r="H38" s="417">
        <f t="shared" si="5"/>
        <v>3310.7284933488791</v>
      </c>
      <c r="I38" s="159" t="b">
        <f t="shared" si="0"/>
        <v>1</v>
      </c>
      <c r="J38" s="160" t="s">
        <v>234</v>
      </c>
      <c r="K38" s="161">
        <v>5782</v>
      </c>
      <c r="L38" s="162">
        <f t="shared" si="1"/>
        <v>0</v>
      </c>
      <c r="N38" s="166">
        <v>2353.2817023866842</v>
      </c>
      <c r="O38" s="167">
        <v>2350.0928535772082</v>
      </c>
      <c r="P38" s="140"/>
      <c r="Q38" s="405">
        <v>2254.33</v>
      </c>
      <c r="R38" s="141">
        <f t="shared" si="2"/>
        <v>1056.3984933488791</v>
      </c>
      <c r="S38" s="429">
        <f t="shared" si="3"/>
        <v>0.46860863021335791</v>
      </c>
    </row>
    <row r="39" spans="1:19" x14ac:dyDescent="0.35">
      <c r="A39" s="165">
        <v>33</v>
      </c>
      <c r="B39" s="454" t="s">
        <v>235</v>
      </c>
      <c r="C39" s="110">
        <v>90393</v>
      </c>
      <c r="D39" s="111">
        <f>C39/$C$48</f>
        <v>2.9834563774338175E-2</v>
      </c>
      <c r="E39" s="105">
        <f t="shared" si="6"/>
        <v>4857.7794360576345</v>
      </c>
      <c r="F39" s="106">
        <v>3000</v>
      </c>
      <c r="G39" s="113"/>
      <c r="H39" s="417">
        <f t="shared" si="5"/>
        <v>7857.7794360576345</v>
      </c>
      <c r="I39" s="159" t="b">
        <f t="shared" si="0"/>
        <v>1</v>
      </c>
      <c r="J39" s="160" t="s">
        <v>235</v>
      </c>
      <c r="K39" s="161">
        <v>90393</v>
      </c>
      <c r="L39" s="162">
        <f t="shared" si="1"/>
        <v>0</v>
      </c>
      <c r="N39" s="166">
        <v>6366.3758551500714</v>
      </c>
      <c r="O39" s="167">
        <v>6354.7261646612042</v>
      </c>
      <c r="P39" s="140"/>
      <c r="Q39" s="405">
        <v>6043.54</v>
      </c>
      <c r="R39" s="141">
        <f t="shared" si="2"/>
        <v>1814.2394360576345</v>
      </c>
      <c r="S39" s="429">
        <f t="shared" si="3"/>
        <v>0.30019482555880073</v>
      </c>
    </row>
    <row r="40" spans="1:19" x14ac:dyDescent="0.35">
      <c r="A40" s="165">
        <v>34</v>
      </c>
      <c r="B40" s="454" t="s">
        <v>236</v>
      </c>
      <c r="C40" s="116">
        <v>67233</v>
      </c>
      <c r="D40" s="111">
        <f t="shared" si="4"/>
        <v>2.219051504253735E-2</v>
      </c>
      <c r="E40" s="105">
        <f>SUM(D40*H$56)</f>
        <v>3613.1457615574545</v>
      </c>
      <c r="F40" s="106">
        <v>3000</v>
      </c>
      <c r="G40" s="113"/>
      <c r="H40" s="417">
        <f t="shared" si="5"/>
        <v>6613.1457615574545</v>
      </c>
      <c r="I40" s="159" t="b">
        <f t="shared" si="0"/>
        <v>1</v>
      </c>
      <c r="J40" s="170" t="s">
        <v>236</v>
      </c>
      <c r="K40" s="171">
        <v>67233</v>
      </c>
      <c r="L40" s="162">
        <f t="shared" si="1"/>
        <v>0</v>
      </c>
      <c r="N40" s="166">
        <v>5260.4068690897593</v>
      </c>
      <c r="O40" s="167">
        <v>5256.1843789849281</v>
      </c>
      <c r="P40" s="140"/>
      <c r="Q40" s="405">
        <v>5006.3500000000004</v>
      </c>
      <c r="R40" s="141">
        <f t="shared" si="2"/>
        <v>1606.7957615574542</v>
      </c>
      <c r="S40" s="429">
        <f t="shared" si="3"/>
        <v>0.32095154385080027</v>
      </c>
    </row>
    <row r="41" spans="1:19" x14ac:dyDescent="0.35">
      <c r="A41" s="165">
        <v>35</v>
      </c>
      <c r="B41" s="454" t="s">
        <v>350</v>
      </c>
      <c r="C41" s="118"/>
      <c r="D41" s="111"/>
      <c r="E41" s="119"/>
      <c r="F41" s="112"/>
      <c r="G41" s="120">
        <v>10000</v>
      </c>
      <c r="H41" s="417">
        <f t="shared" ref="H41:H45" si="7">G41</f>
        <v>10000</v>
      </c>
      <c r="I41" s="159"/>
      <c r="J41" s="160"/>
      <c r="K41" s="161"/>
      <c r="N41" s="166">
        <v>9000</v>
      </c>
      <c r="O41" s="167">
        <v>0</v>
      </c>
      <c r="P41" s="140"/>
      <c r="Q41" s="407">
        <v>9000</v>
      </c>
      <c r="R41" s="141">
        <f t="shared" si="2"/>
        <v>1000</v>
      </c>
      <c r="S41" s="429">
        <f t="shared" si="3"/>
        <v>0.1111111111111111</v>
      </c>
    </row>
    <row r="42" spans="1:19" x14ac:dyDescent="0.35">
      <c r="A42" s="165">
        <v>36</v>
      </c>
      <c r="B42" s="454" t="s">
        <v>238</v>
      </c>
      <c r="C42" s="118"/>
      <c r="D42" s="111"/>
      <c r="E42" s="119"/>
      <c r="F42" s="112"/>
      <c r="G42" s="120">
        <v>10000</v>
      </c>
      <c r="H42" s="417">
        <f t="shared" si="7"/>
        <v>10000</v>
      </c>
      <c r="I42" s="159"/>
      <c r="J42" s="160" t="s">
        <v>256</v>
      </c>
      <c r="K42" s="161">
        <v>132437</v>
      </c>
      <c r="L42" s="162">
        <f>C50-K42</f>
        <v>0</v>
      </c>
      <c r="N42" s="166">
        <v>9000</v>
      </c>
      <c r="O42" s="167">
        <v>9000</v>
      </c>
      <c r="P42" s="140"/>
      <c r="Q42" s="408">
        <v>9000</v>
      </c>
      <c r="R42" s="141">
        <f t="shared" si="2"/>
        <v>1000</v>
      </c>
      <c r="S42" s="429">
        <f t="shared" si="3"/>
        <v>0.1111111111111111</v>
      </c>
    </row>
    <row r="43" spans="1:19" x14ac:dyDescent="0.35">
      <c r="A43" s="165">
        <v>37</v>
      </c>
      <c r="B43" s="454" t="s">
        <v>239</v>
      </c>
      <c r="C43" s="118"/>
      <c r="D43" s="111"/>
      <c r="E43" s="119"/>
      <c r="F43" s="112"/>
      <c r="G43" s="120">
        <v>10000</v>
      </c>
      <c r="H43" s="417">
        <f t="shared" si="7"/>
        <v>10000</v>
      </c>
      <c r="I43" s="159"/>
      <c r="J43" s="160" t="s">
        <v>257</v>
      </c>
      <c r="K43" s="161">
        <v>3029808</v>
      </c>
      <c r="L43" s="162">
        <f>C48-K43</f>
        <v>0</v>
      </c>
      <c r="N43" s="166">
        <v>9000</v>
      </c>
      <c r="O43" s="167">
        <v>9000</v>
      </c>
      <c r="P43" s="140"/>
      <c r="Q43" s="408">
        <v>9000</v>
      </c>
      <c r="R43" s="141">
        <f t="shared" si="2"/>
        <v>1000</v>
      </c>
      <c r="S43" s="429">
        <f t="shared" si="3"/>
        <v>0.1111111111111111</v>
      </c>
    </row>
    <row r="44" spans="1:19" x14ac:dyDescent="0.35">
      <c r="A44" s="165">
        <v>38</v>
      </c>
      <c r="B44" s="454" t="s">
        <v>240</v>
      </c>
      <c r="C44" s="118"/>
      <c r="D44" s="111"/>
      <c r="E44" s="119"/>
      <c r="F44" s="112"/>
      <c r="G44" s="120">
        <v>10000</v>
      </c>
      <c r="H44" s="417">
        <f t="shared" si="7"/>
        <v>10000</v>
      </c>
      <c r="I44" s="159"/>
      <c r="J44" s="170"/>
      <c r="K44" s="171"/>
      <c r="N44" s="166">
        <v>7500</v>
      </c>
      <c r="O44" s="167">
        <v>7500</v>
      </c>
      <c r="P44" s="140"/>
      <c r="Q44" s="408">
        <v>7500</v>
      </c>
      <c r="R44" s="141">
        <f t="shared" si="2"/>
        <v>2500</v>
      </c>
      <c r="S44" s="429">
        <f t="shared" si="3"/>
        <v>0.33333333333333331</v>
      </c>
    </row>
    <row r="45" spans="1:19" x14ac:dyDescent="0.35">
      <c r="A45" s="165">
        <v>39</v>
      </c>
      <c r="B45" s="454" t="s">
        <v>241</v>
      </c>
      <c r="C45" s="118"/>
      <c r="D45" s="111"/>
      <c r="E45" s="119"/>
      <c r="F45" s="112"/>
      <c r="G45" s="120">
        <v>1000</v>
      </c>
      <c r="H45" s="417">
        <f t="shared" si="7"/>
        <v>1000</v>
      </c>
      <c r="I45" s="159"/>
      <c r="J45" s="160" t="s">
        <v>258</v>
      </c>
      <c r="K45" s="161">
        <v>3162245</v>
      </c>
      <c r="L45" s="162">
        <f>C51-K45</f>
        <v>0</v>
      </c>
      <c r="N45" s="166">
        <v>500</v>
      </c>
      <c r="O45" s="167">
        <v>500</v>
      </c>
      <c r="P45" s="140"/>
      <c r="Q45" s="408">
        <v>550</v>
      </c>
      <c r="R45" s="141">
        <f t="shared" si="2"/>
        <v>450</v>
      </c>
      <c r="S45" s="429">
        <f t="shared" si="3"/>
        <v>0.81818181818181823</v>
      </c>
    </row>
    <row r="46" spans="1:19" x14ac:dyDescent="0.35">
      <c r="A46" s="172">
        <v>40</v>
      </c>
      <c r="B46" s="456" t="s">
        <v>242</v>
      </c>
      <c r="C46" s="122"/>
      <c r="D46" s="123"/>
      <c r="E46" s="124"/>
      <c r="F46" s="124"/>
      <c r="G46" s="125">
        <v>10000</v>
      </c>
      <c r="H46" s="419">
        <v>10000</v>
      </c>
      <c r="I46" s="159"/>
      <c r="N46" s="173">
        <v>7500</v>
      </c>
      <c r="O46" s="174">
        <v>7500</v>
      </c>
      <c r="P46" s="140"/>
      <c r="Q46" s="409">
        <v>7500</v>
      </c>
      <c r="R46" s="141">
        <f t="shared" si="2"/>
        <v>2500</v>
      </c>
      <c r="S46" s="429">
        <f t="shared" si="3"/>
        <v>0.33333333333333331</v>
      </c>
    </row>
    <row r="47" spans="1:19" x14ac:dyDescent="0.35">
      <c r="B47" s="457"/>
      <c r="C47" s="128"/>
      <c r="D47" s="129"/>
      <c r="E47" s="130"/>
      <c r="F47" s="130"/>
      <c r="G47" s="130"/>
      <c r="H47" s="420"/>
      <c r="I47" s="155"/>
      <c r="N47" s="175"/>
      <c r="O47" s="176">
        <f>SUM(O7:O46)</f>
        <v>246029.83738145075</v>
      </c>
      <c r="P47" s="140"/>
      <c r="R47" s="140"/>
    </row>
    <row r="48" spans="1:19" ht="16" thickBot="1" x14ac:dyDescent="0.4">
      <c r="B48" s="458" t="s">
        <v>243</v>
      </c>
      <c r="C48" s="128">
        <f>SUM(C7:C40)</f>
        <v>3029808</v>
      </c>
      <c r="D48" s="133">
        <f>SUM(D7:D40)</f>
        <v>1</v>
      </c>
      <c r="E48" s="134">
        <f>SUM(E7:E40)</f>
        <v>162823.88014119357</v>
      </c>
      <c r="F48" s="134">
        <f>SUM(F7:F40)</f>
        <v>102000</v>
      </c>
      <c r="G48" s="134">
        <f>SUM(G7:G46)</f>
        <v>51000</v>
      </c>
      <c r="H48" s="421">
        <f>SUM(H7:H46)</f>
        <v>315823.88014119357</v>
      </c>
      <c r="N48" s="177">
        <v>246029.83999999997</v>
      </c>
      <c r="P48" s="140"/>
      <c r="Q48" s="410">
        <f>SUM(Q7:Q46)</f>
        <v>246079.87000000002</v>
      </c>
      <c r="R48" s="141">
        <f>AVERAGE(R7:R46)</f>
        <v>1743.6002535298394</v>
      </c>
    </row>
    <row r="49" spans="1:19" ht="16" thickTop="1" x14ac:dyDescent="0.35">
      <c r="B49" s="458"/>
      <c r="C49" s="128"/>
      <c r="E49" s="136"/>
      <c r="F49" s="137"/>
      <c r="G49" s="137"/>
      <c r="H49" s="422"/>
      <c r="R49" s="400"/>
      <c r="S49" s="400"/>
    </row>
    <row r="50" spans="1:19" x14ac:dyDescent="0.35">
      <c r="B50" s="458" t="s">
        <v>244</v>
      </c>
      <c r="C50" s="139">
        <v>132437</v>
      </c>
      <c r="E50" s="136"/>
      <c r="F50" s="137"/>
      <c r="G50" s="137"/>
      <c r="H50" s="422"/>
      <c r="K50" s="154" t="s">
        <v>259</v>
      </c>
      <c r="R50" s="400"/>
      <c r="S50" s="400"/>
    </row>
    <row r="51" spans="1:19" x14ac:dyDescent="0.35">
      <c r="B51" s="400" t="s">
        <v>245</v>
      </c>
      <c r="C51" s="128">
        <f>C50+C48</f>
        <v>3162245</v>
      </c>
      <c r="K51" s="178">
        <v>0.2</v>
      </c>
      <c r="L51" s="154" t="s">
        <v>260</v>
      </c>
      <c r="R51" s="400"/>
      <c r="S51" s="400"/>
    </row>
    <row r="52" spans="1:19" x14ac:dyDescent="0.35">
      <c r="C52" s="128"/>
      <c r="J52" s="154" t="s">
        <v>261</v>
      </c>
      <c r="R52" s="400"/>
      <c r="S52" s="400"/>
    </row>
    <row r="53" spans="1:19" ht="16" thickBot="1" x14ac:dyDescent="0.4">
      <c r="A53" s="179" t="s">
        <v>262</v>
      </c>
      <c r="D53" s="128"/>
      <c r="H53" s="424"/>
      <c r="J53" s="180">
        <v>246029.84</v>
      </c>
      <c r="K53" s="181">
        <f>J55*(1+K51)</f>
        <v>295235.80799999996</v>
      </c>
      <c r="M53" s="181"/>
      <c r="R53" s="400"/>
      <c r="S53" s="400"/>
    </row>
    <row r="54" spans="1:19" ht="16" hidden="1" thickTop="1" x14ac:dyDescent="0.35">
      <c r="J54" s="182"/>
      <c r="K54" s="176"/>
      <c r="R54" s="400"/>
      <c r="S54" s="400"/>
    </row>
    <row r="55" spans="1:19" ht="16" hidden="1" thickTop="1" x14ac:dyDescent="0.35">
      <c r="A55" s="140" t="s">
        <v>263</v>
      </c>
      <c r="B55" s="457"/>
      <c r="C55" s="128"/>
      <c r="D55" s="140"/>
      <c r="E55" s="141"/>
      <c r="F55" s="130"/>
      <c r="G55" s="130"/>
      <c r="H55" s="425">
        <f>0.3333333*(H58-H57)</f>
        <v>81411.92785880639</v>
      </c>
      <c r="J55" s="183">
        <f>SUM(J53:J54)</f>
        <v>246029.84</v>
      </c>
      <c r="K55" s="181"/>
      <c r="R55" s="400"/>
      <c r="S55" s="400"/>
    </row>
    <row r="56" spans="1:19" ht="16" hidden="1" thickTop="1" x14ac:dyDescent="0.35">
      <c r="A56" s="140" t="s">
        <v>264</v>
      </c>
      <c r="B56" s="458"/>
      <c r="C56" s="128"/>
      <c r="D56" s="140"/>
      <c r="E56" s="136"/>
      <c r="H56" s="426">
        <f>H58-H55-H57</f>
        <v>162823.88014119357</v>
      </c>
      <c r="R56" s="400"/>
      <c r="S56" s="400"/>
    </row>
    <row r="57" spans="1:19" ht="16" hidden="1" thickTop="1" x14ac:dyDescent="0.35">
      <c r="A57" s="140" t="s">
        <v>265</v>
      </c>
      <c r="D57" s="140"/>
      <c r="E57" s="130"/>
      <c r="H57" s="427">
        <f>G48</f>
        <v>51000</v>
      </c>
      <c r="I57" s="184"/>
      <c r="L57" s="181"/>
      <c r="Q57" s="411">
        <f>SUM(Q41:Q46)</f>
        <v>42550</v>
      </c>
      <c r="R57" s="400"/>
      <c r="S57" s="400"/>
    </row>
    <row r="58" spans="1:19" ht="16.5" hidden="1" thickTop="1" thickBot="1" x14ac:dyDescent="0.4">
      <c r="D58" s="145"/>
      <c r="E58" s="136"/>
      <c r="H58" s="428">
        <f>K53</f>
        <v>295235.80799999996</v>
      </c>
      <c r="I58" s="181"/>
      <c r="R58" s="400"/>
      <c r="S58" s="400"/>
    </row>
    <row r="59" spans="1:19" ht="16" hidden="1" thickTop="1" x14ac:dyDescent="0.35">
      <c r="B59" s="459" t="s">
        <v>246</v>
      </c>
      <c r="D59" s="140"/>
      <c r="G59" s="148"/>
      <c r="I59" s="184"/>
      <c r="J59" s="184"/>
      <c r="K59" s="184"/>
      <c r="L59" s="184"/>
      <c r="R59" s="400"/>
      <c r="S59" s="400"/>
    </row>
    <row r="60" spans="1:19" s="136" customFormat="1" ht="16" hidden="1" thickTop="1" x14ac:dyDescent="0.35">
      <c r="A60" s="140"/>
      <c r="B60" s="400"/>
      <c r="C60" s="140"/>
      <c r="D60" s="140"/>
      <c r="E60" s="140"/>
      <c r="F60" s="140"/>
      <c r="G60" s="185"/>
      <c r="H60" s="423"/>
      <c r="I60" s="184"/>
      <c r="J60" s="184"/>
      <c r="K60" s="184"/>
      <c r="L60" s="184"/>
      <c r="M60" s="184"/>
      <c r="N60" s="186"/>
      <c r="O60" s="184"/>
      <c r="P60" s="184"/>
      <c r="Q60" s="412"/>
      <c r="R60" s="401"/>
      <c r="S60" s="401"/>
    </row>
    <row r="61" spans="1:19" s="136" customFormat="1" ht="16" hidden="1" thickTop="1" x14ac:dyDescent="0.35">
      <c r="A61" s="140"/>
      <c r="B61" s="400"/>
      <c r="C61" s="140"/>
      <c r="D61" s="140"/>
      <c r="E61" s="140"/>
      <c r="F61" s="140"/>
      <c r="G61" s="185"/>
      <c r="H61" s="423"/>
      <c r="I61" s="184"/>
      <c r="J61" s="184"/>
      <c r="K61" s="184"/>
      <c r="L61" s="184"/>
      <c r="M61" s="184"/>
      <c r="N61" s="186"/>
      <c r="O61" s="184"/>
      <c r="P61" s="184"/>
      <c r="Q61" s="412"/>
      <c r="R61" s="401"/>
      <c r="S61" s="401"/>
    </row>
    <row r="62" spans="1:19" s="136" customFormat="1" ht="16" hidden="1" thickTop="1" x14ac:dyDescent="0.35">
      <c r="A62" s="140"/>
      <c r="B62" s="400"/>
      <c r="C62" s="140"/>
      <c r="D62" s="140"/>
      <c r="E62" s="140"/>
      <c r="F62" s="140"/>
      <c r="G62" s="140"/>
      <c r="H62" s="423"/>
      <c r="I62" s="184"/>
      <c r="J62" s="184"/>
      <c r="K62" s="184"/>
      <c r="L62" s="184"/>
      <c r="M62" s="184"/>
      <c r="N62" s="186"/>
      <c r="O62" s="184"/>
      <c r="P62" s="184"/>
      <c r="Q62" s="412"/>
      <c r="R62" s="401"/>
      <c r="S62" s="401"/>
    </row>
    <row r="63" spans="1:19" s="136" customFormat="1" ht="16" hidden="1" thickTop="1" x14ac:dyDescent="0.35">
      <c r="A63" s="140"/>
      <c r="B63" s="400"/>
      <c r="C63" s="140"/>
      <c r="D63" s="140"/>
      <c r="E63" s="140"/>
      <c r="F63" s="140"/>
      <c r="G63" s="187"/>
      <c r="H63" s="423"/>
      <c r="I63" s="184"/>
      <c r="J63" s="184"/>
      <c r="K63" s="184"/>
      <c r="L63" s="184"/>
      <c r="M63" s="184"/>
      <c r="N63" s="186"/>
      <c r="O63" s="184"/>
      <c r="P63" s="184"/>
      <c r="Q63" s="412"/>
      <c r="R63" s="401"/>
      <c r="S63" s="401"/>
    </row>
    <row r="64" spans="1:19" s="136" customFormat="1" ht="16" thickTop="1" x14ac:dyDescent="0.35">
      <c r="A64" s="140"/>
      <c r="B64" s="400"/>
      <c r="C64" s="140"/>
      <c r="D64" s="140"/>
      <c r="E64" s="140"/>
      <c r="F64" s="140"/>
      <c r="G64" s="188"/>
      <c r="H64" s="423"/>
      <c r="I64" s="154"/>
      <c r="J64" s="154"/>
      <c r="K64" s="154"/>
      <c r="L64" s="154"/>
      <c r="M64" s="184"/>
      <c r="N64" s="186"/>
      <c r="O64" s="184"/>
      <c r="P64" s="184"/>
      <c r="Q64" s="412"/>
      <c r="R64" s="401"/>
      <c r="S64" s="401"/>
    </row>
    <row r="65" spans="1:19" x14ac:dyDescent="0.35">
      <c r="D65" s="140"/>
      <c r="H65" s="413"/>
      <c r="I65" s="184"/>
      <c r="J65" s="184"/>
      <c r="K65" s="184"/>
      <c r="L65" s="184"/>
      <c r="R65" s="400"/>
      <c r="S65" s="400"/>
    </row>
    <row r="66" spans="1:19" s="136" customFormat="1" x14ac:dyDescent="0.35">
      <c r="A66" s="140"/>
      <c r="B66" s="400"/>
      <c r="C66" s="140"/>
      <c r="D66" s="140"/>
      <c r="E66" s="140"/>
      <c r="F66" s="140"/>
      <c r="G66" s="140"/>
      <c r="H66" s="413"/>
      <c r="I66" s="184"/>
      <c r="J66" s="184"/>
      <c r="K66" s="184"/>
      <c r="L66" s="184"/>
      <c r="M66" s="184"/>
      <c r="N66" s="186"/>
      <c r="O66" s="184"/>
      <c r="P66" s="184"/>
      <c r="Q66" s="412"/>
      <c r="R66" s="401"/>
      <c r="S66" s="401"/>
    </row>
    <row r="67" spans="1:19" s="136" customFormat="1" x14ac:dyDescent="0.35">
      <c r="A67" s="140"/>
      <c r="B67" s="400"/>
      <c r="C67" s="140"/>
      <c r="D67" s="133"/>
      <c r="E67" s="140"/>
      <c r="F67" s="140"/>
      <c r="G67" s="140"/>
      <c r="H67" s="413"/>
      <c r="I67" s="154"/>
      <c r="J67" s="154"/>
      <c r="K67" s="154"/>
      <c r="L67" s="154"/>
      <c r="M67" s="184"/>
      <c r="N67" s="186"/>
      <c r="O67" s="184"/>
      <c r="P67" s="184"/>
      <c r="Q67" s="412"/>
      <c r="R67" s="401"/>
      <c r="S67" s="401"/>
    </row>
    <row r="68" spans="1:19" x14ac:dyDescent="0.35">
      <c r="H68" s="413"/>
      <c r="R68" s="400"/>
      <c r="S68" s="400"/>
    </row>
    <row r="69" spans="1:19" x14ac:dyDescent="0.35">
      <c r="R69" s="400"/>
      <c r="S69" s="400"/>
    </row>
    <row r="70" spans="1:19" x14ac:dyDescent="0.35">
      <c r="R70" s="400"/>
      <c r="S70" s="400"/>
    </row>
    <row r="71" spans="1:19" x14ac:dyDescent="0.35">
      <c r="R71" s="400"/>
      <c r="S71" s="400"/>
    </row>
    <row r="72" spans="1:19" x14ac:dyDescent="0.35">
      <c r="R72" s="400"/>
      <c r="S72" s="400"/>
    </row>
    <row r="73" spans="1:19" x14ac:dyDescent="0.35">
      <c r="R73" s="400"/>
      <c r="S73" s="400"/>
    </row>
    <row r="74" spans="1:19" x14ac:dyDescent="0.35">
      <c r="R74" s="400"/>
      <c r="S74" s="400"/>
    </row>
    <row r="75" spans="1:19" x14ac:dyDescent="0.35">
      <c r="R75" s="400"/>
      <c r="S75" s="400"/>
    </row>
    <row r="76" spans="1:19" x14ac:dyDescent="0.35">
      <c r="R76" s="400"/>
      <c r="S76" s="400"/>
    </row>
    <row r="77" spans="1:19" x14ac:dyDescent="0.35">
      <c r="R77" s="400"/>
      <c r="S77" s="400"/>
    </row>
    <row r="78" spans="1:19" x14ac:dyDescent="0.35">
      <c r="R78" s="400"/>
      <c r="S78" s="400"/>
    </row>
    <row r="79" spans="1:19" x14ac:dyDescent="0.35">
      <c r="R79" s="400"/>
      <c r="S79" s="400"/>
    </row>
    <row r="80" spans="1:19" x14ac:dyDescent="0.35">
      <c r="R80" s="400"/>
      <c r="S80" s="400"/>
    </row>
    <row r="81" spans="18:19" x14ac:dyDescent="0.35">
      <c r="R81" s="400"/>
      <c r="S81" s="400"/>
    </row>
    <row r="82" spans="18:19" x14ac:dyDescent="0.35">
      <c r="R82" s="400"/>
      <c r="S82" s="400"/>
    </row>
    <row r="83" spans="18:19" x14ac:dyDescent="0.35">
      <c r="R83" s="400"/>
      <c r="S83" s="400"/>
    </row>
    <row r="84" spans="18:19" x14ac:dyDescent="0.35">
      <c r="R84" s="400"/>
      <c r="S84" s="400"/>
    </row>
    <row r="85" spans="18:19" x14ac:dyDescent="0.35">
      <c r="R85" s="400"/>
      <c r="S85" s="400"/>
    </row>
    <row r="86" spans="18:19" x14ac:dyDescent="0.35">
      <c r="R86" s="400"/>
      <c r="S86" s="400"/>
    </row>
    <row r="87" spans="18:19" x14ac:dyDescent="0.35">
      <c r="R87" s="400"/>
      <c r="S87" s="400"/>
    </row>
    <row r="88" spans="18:19" x14ac:dyDescent="0.35">
      <c r="R88" s="400"/>
      <c r="S88" s="400"/>
    </row>
    <row r="89" spans="18:19" x14ac:dyDescent="0.35">
      <c r="R89" s="400"/>
      <c r="S89" s="400"/>
    </row>
    <row r="90" spans="18:19" x14ac:dyDescent="0.35">
      <c r="R90" s="400"/>
      <c r="S90" s="400"/>
    </row>
    <row r="91" spans="18:19" x14ac:dyDescent="0.35">
      <c r="R91" s="400"/>
      <c r="S91" s="400"/>
    </row>
    <row r="92" spans="18:19" x14ac:dyDescent="0.35">
      <c r="R92" s="400"/>
      <c r="S92" s="400"/>
    </row>
    <row r="93" spans="18:19" x14ac:dyDescent="0.35">
      <c r="R93" s="400"/>
      <c r="S93" s="400"/>
    </row>
    <row r="94" spans="18:19" x14ac:dyDescent="0.35">
      <c r="R94" s="400"/>
      <c r="S94" s="400"/>
    </row>
    <row r="95" spans="18:19" x14ac:dyDescent="0.35">
      <c r="R95" s="400"/>
      <c r="S95" s="400"/>
    </row>
    <row r="96" spans="18:19" x14ac:dyDescent="0.35">
      <c r="R96" s="400"/>
      <c r="S96" s="400"/>
    </row>
    <row r="97" spans="18:19" x14ac:dyDescent="0.35">
      <c r="R97" s="400"/>
      <c r="S97" s="400"/>
    </row>
    <row r="98" spans="18:19" x14ac:dyDescent="0.35">
      <c r="R98" s="400"/>
      <c r="S98" s="400"/>
    </row>
    <row r="99" spans="18:19" x14ac:dyDescent="0.35">
      <c r="R99" s="400"/>
      <c r="S99" s="400"/>
    </row>
    <row r="100" spans="18:19" x14ac:dyDescent="0.35">
      <c r="R100" s="400"/>
      <c r="S100" s="400"/>
    </row>
    <row r="101" spans="18:19" x14ac:dyDescent="0.35">
      <c r="R101" s="400"/>
      <c r="S101" s="400"/>
    </row>
    <row r="102" spans="18:19" x14ac:dyDescent="0.35">
      <c r="R102" s="400"/>
      <c r="S102" s="400"/>
    </row>
    <row r="103" spans="18:19" x14ac:dyDescent="0.35">
      <c r="R103" s="400"/>
      <c r="S103" s="400"/>
    </row>
    <row r="104" spans="18:19" x14ac:dyDescent="0.35">
      <c r="R104" s="400"/>
      <c r="S104" s="400"/>
    </row>
    <row r="105" spans="18:19" x14ac:dyDescent="0.35">
      <c r="R105" s="400"/>
      <c r="S105" s="400"/>
    </row>
    <row r="106" spans="18:19" x14ac:dyDescent="0.35">
      <c r="R106" s="400"/>
      <c r="S106" s="400"/>
    </row>
    <row r="107" spans="18:19" x14ac:dyDescent="0.35">
      <c r="R107" s="400"/>
      <c r="S107" s="400"/>
    </row>
    <row r="108" spans="18:19" x14ac:dyDescent="0.35">
      <c r="R108" s="400"/>
      <c r="S108" s="400"/>
    </row>
    <row r="109" spans="18:19" x14ac:dyDescent="0.35">
      <c r="R109" s="400"/>
      <c r="S109" s="400"/>
    </row>
    <row r="110" spans="18:19" x14ac:dyDescent="0.35">
      <c r="R110" s="400"/>
      <c r="S110" s="400"/>
    </row>
    <row r="111" spans="18:19" x14ac:dyDescent="0.35">
      <c r="R111" s="400"/>
      <c r="S111" s="400"/>
    </row>
    <row r="112" spans="18:19" x14ac:dyDescent="0.35">
      <c r="R112" s="400"/>
      <c r="S112" s="400"/>
    </row>
    <row r="113" spans="18:19" x14ac:dyDescent="0.35">
      <c r="R113" s="400"/>
      <c r="S113" s="400"/>
    </row>
    <row r="114" spans="18:19" x14ac:dyDescent="0.35">
      <c r="R114" s="400"/>
      <c r="S114" s="400"/>
    </row>
    <row r="115" spans="18:19" x14ac:dyDescent="0.35">
      <c r="R115" s="400"/>
      <c r="S115" s="400"/>
    </row>
    <row r="116" spans="18:19" x14ac:dyDescent="0.35">
      <c r="R116" s="400"/>
      <c r="S116" s="400"/>
    </row>
    <row r="117" spans="18:19" x14ac:dyDescent="0.35">
      <c r="R117" s="400"/>
      <c r="S117" s="400"/>
    </row>
    <row r="118" spans="18:19" x14ac:dyDescent="0.35">
      <c r="R118" s="400"/>
      <c r="S118" s="400"/>
    </row>
    <row r="119" spans="18:19" x14ac:dyDescent="0.35">
      <c r="R119" s="400"/>
      <c r="S119" s="400"/>
    </row>
    <row r="120" spans="18:19" x14ac:dyDescent="0.35">
      <c r="R120" s="400"/>
      <c r="S120" s="400"/>
    </row>
    <row r="121" spans="18:19" x14ac:dyDescent="0.35">
      <c r="R121" s="400"/>
      <c r="S121" s="400"/>
    </row>
    <row r="122" spans="18:19" x14ac:dyDescent="0.35">
      <c r="R122" s="400"/>
      <c r="S122" s="400"/>
    </row>
    <row r="123" spans="18:19" x14ac:dyDescent="0.35">
      <c r="R123" s="400"/>
      <c r="S123" s="400"/>
    </row>
    <row r="124" spans="18:19" x14ac:dyDescent="0.35">
      <c r="R124" s="400"/>
      <c r="S124" s="400"/>
    </row>
    <row r="125" spans="18:19" x14ac:dyDescent="0.35">
      <c r="R125" s="400"/>
      <c r="S125" s="400"/>
    </row>
    <row r="126" spans="18:19" x14ac:dyDescent="0.35">
      <c r="R126" s="400"/>
      <c r="S126" s="400"/>
    </row>
    <row r="127" spans="18:19" x14ac:dyDescent="0.35">
      <c r="R127" s="400"/>
      <c r="S127" s="400"/>
    </row>
    <row r="128" spans="18:19" x14ac:dyDescent="0.35">
      <c r="R128" s="400"/>
      <c r="S128" s="400"/>
    </row>
    <row r="129" spans="18:19" x14ac:dyDescent="0.35">
      <c r="R129" s="400"/>
      <c r="S129" s="400"/>
    </row>
    <row r="130" spans="18:19" x14ac:dyDescent="0.35">
      <c r="R130" s="400"/>
      <c r="S130" s="400"/>
    </row>
    <row r="131" spans="18:19" x14ac:dyDescent="0.35">
      <c r="R131" s="400"/>
      <c r="S131" s="400"/>
    </row>
    <row r="132" spans="18:19" x14ac:dyDescent="0.35">
      <c r="R132" s="400"/>
      <c r="S132" s="400"/>
    </row>
    <row r="133" spans="18:19" x14ac:dyDescent="0.35">
      <c r="R133" s="400"/>
      <c r="S133" s="400"/>
    </row>
    <row r="134" spans="18:19" x14ac:dyDescent="0.35">
      <c r="R134" s="400"/>
      <c r="S134" s="400"/>
    </row>
    <row r="135" spans="18:19" x14ac:dyDescent="0.35">
      <c r="R135" s="400"/>
      <c r="S135" s="400"/>
    </row>
    <row r="136" spans="18:19" x14ac:dyDescent="0.35">
      <c r="R136" s="400"/>
      <c r="S136" s="400"/>
    </row>
    <row r="137" spans="18:19" x14ac:dyDescent="0.35">
      <c r="R137" s="400"/>
      <c r="S137" s="400"/>
    </row>
    <row r="138" spans="18:19" x14ac:dyDescent="0.35">
      <c r="R138" s="400"/>
      <c r="S138" s="400"/>
    </row>
    <row r="139" spans="18:19" x14ac:dyDescent="0.35">
      <c r="R139" s="400"/>
      <c r="S139" s="400"/>
    </row>
    <row r="140" spans="18:19" x14ac:dyDescent="0.35">
      <c r="R140" s="400"/>
      <c r="S140" s="400"/>
    </row>
    <row r="141" spans="18:19" x14ac:dyDescent="0.35">
      <c r="R141" s="400"/>
      <c r="S141" s="400"/>
    </row>
    <row r="142" spans="18:19" x14ac:dyDescent="0.35">
      <c r="R142" s="400"/>
      <c r="S142" s="400"/>
    </row>
    <row r="143" spans="18:19" x14ac:dyDescent="0.35">
      <c r="R143" s="400"/>
      <c r="S143" s="400"/>
    </row>
    <row r="144" spans="18:19" x14ac:dyDescent="0.35">
      <c r="R144" s="400"/>
      <c r="S144" s="400"/>
    </row>
    <row r="145" spans="18:19" x14ac:dyDescent="0.35">
      <c r="R145" s="400"/>
      <c r="S145" s="400"/>
    </row>
    <row r="146" spans="18:19" x14ac:dyDescent="0.35">
      <c r="R146" s="400"/>
      <c r="S146" s="400"/>
    </row>
    <row r="147" spans="18:19" x14ac:dyDescent="0.35">
      <c r="R147" s="400"/>
      <c r="S147" s="400"/>
    </row>
    <row r="148" spans="18:19" x14ac:dyDescent="0.35">
      <c r="R148" s="400"/>
      <c r="S148" s="400"/>
    </row>
    <row r="149" spans="18:19" x14ac:dyDescent="0.35">
      <c r="R149" s="400"/>
      <c r="S149" s="400"/>
    </row>
    <row r="150" spans="18:19" x14ac:dyDescent="0.35">
      <c r="R150" s="400"/>
      <c r="S150" s="400"/>
    </row>
    <row r="151" spans="18:19" x14ac:dyDescent="0.35">
      <c r="R151" s="400"/>
      <c r="S151" s="400"/>
    </row>
    <row r="152" spans="18:19" x14ac:dyDescent="0.35">
      <c r="R152" s="400"/>
      <c r="S152" s="400"/>
    </row>
    <row r="153" spans="18:19" x14ac:dyDescent="0.35">
      <c r="R153" s="400"/>
      <c r="S153" s="400"/>
    </row>
    <row r="154" spans="18:19" x14ac:dyDescent="0.35">
      <c r="R154" s="400"/>
      <c r="S154" s="400"/>
    </row>
    <row r="155" spans="18:19" x14ac:dyDescent="0.35">
      <c r="R155" s="400"/>
      <c r="S155" s="400"/>
    </row>
    <row r="156" spans="18:19" x14ac:dyDescent="0.35">
      <c r="R156" s="400"/>
      <c r="S156" s="400"/>
    </row>
    <row r="157" spans="18:19" x14ac:dyDescent="0.35">
      <c r="R157" s="400"/>
      <c r="S157" s="400"/>
    </row>
    <row r="158" spans="18:19" x14ac:dyDescent="0.35">
      <c r="R158" s="400"/>
      <c r="S158" s="400"/>
    </row>
    <row r="159" spans="18:19" x14ac:dyDescent="0.35">
      <c r="R159" s="400"/>
      <c r="S159" s="400"/>
    </row>
    <row r="160" spans="18:19" x14ac:dyDescent="0.35">
      <c r="R160" s="400"/>
      <c r="S160" s="400"/>
    </row>
    <row r="161" spans="18:19" x14ac:dyDescent="0.35">
      <c r="R161" s="400"/>
      <c r="S161" s="400"/>
    </row>
    <row r="162" spans="18:19" x14ac:dyDescent="0.35">
      <c r="R162" s="400"/>
      <c r="S162" s="400"/>
    </row>
    <row r="163" spans="18:19" x14ac:dyDescent="0.35">
      <c r="R163" s="400"/>
      <c r="S163" s="400"/>
    </row>
    <row r="164" spans="18:19" x14ac:dyDescent="0.35">
      <c r="R164" s="400"/>
      <c r="S164" s="400"/>
    </row>
    <row r="165" spans="18:19" x14ac:dyDescent="0.35">
      <c r="R165" s="400"/>
      <c r="S165" s="400"/>
    </row>
    <row r="166" spans="18:19" x14ac:dyDescent="0.35">
      <c r="R166" s="400"/>
      <c r="S166" s="400"/>
    </row>
    <row r="167" spans="18:19" x14ac:dyDescent="0.35">
      <c r="R167" s="400"/>
      <c r="S167" s="400"/>
    </row>
    <row r="168" spans="18:19" x14ac:dyDescent="0.35">
      <c r="R168" s="400"/>
      <c r="S168" s="400"/>
    </row>
    <row r="169" spans="18:19" x14ac:dyDescent="0.35">
      <c r="R169" s="400"/>
      <c r="S169" s="400"/>
    </row>
    <row r="170" spans="18:19" x14ac:dyDescent="0.35">
      <c r="R170" s="400"/>
      <c r="S170" s="400"/>
    </row>
    <row r="171" spans="18:19" x14ac:dyDescent="0.35">
      <c r="R171" s="400"/>
      <c r="S171" s="400"/>
    </row>
    <row r="172" spans="18:19" x14ac:dyDescent="0.35">
      <c r="R172" s="400"/>
      <c r="S172" s="400"/>
    </row>
    <row r="173" spans="18:19" x14ac:dyDescent="0.35">
      <c r="R173" s="400"/>
      <c r="S173" s="400"/>
    </row>
    <row r="174" spans="18:19" x14ac:dyDescent="0.35">
      <c r="R174" s="400"/>
      <c r="S174" s="400"/>
    </row>
    <row r="175" spans="18:19" x14ac:dyDescent="0.35">
      <c r="R175" s="400"/>
      <c r="S175" s="400"/>
    </row>
    <row r="176" spans="18:19" x14ac:dyDescent="0.35">
      <c r="R176" s="400"/>
      <c r="S176" s="400"/>
    </row>
    <row r="177" spans="18:19" x14ac:dyDescent="0.35">
      <c r="R177" s="400"/>
      <c r="S177" s="400"/>
    </row>
  </sheetData>
  <mergeCells count="2">
    <mergeCell ref="B3:H3"/>
    <mergeCell ref="B4:H4"/>
  </mergeCells>
  <pageMargins left="0.7" right="0.7" top="0.75" bottom="0.75" header="0.3" footer="0.3"/>
  <pageSetup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9"/>
  <sheetViews>
    <sheetView topLeftCell="A11" workbookViewId="0">
      <selection activeCell="H2" sqref="H1:S1048576"/>
    </sheetView>
  </sheetViews>
  <sheetFormatPr defaultColWidth="10.81640625" defaultRowHeight="12.5" x14ac:dyDescent="0.25"/>
  <cols>
    <col min="1" max="1" width="3.36328125" style="194" customWidth="1"/>
    <col min="2" max="2" width="25.6328125" style="194" customWidth="1"/>
    <col min="3" max="3" width="12.6328125" style="194" customWidth="1"/>
    <col min="4" max="4" width="12.6328125" style="246" customWidth="1"/>
    <col min="5" max="5" width="14.453125" style="194" customWidth="1"/>
    <col min="6" max="6" width="12.6328125" style="194" customWidth="1"/>
    <col min="7" max="7" width="12.1796875" style="241" customWidth="1"/>
    <col min="8" max="10" width="0" style="153" hidden="1" customWidth="1"/>
    <col min="11" max="11" width="23.36328125" style="153" hidden="1" customWidth="1"/>
    <col min="12" max="17" width="0" style="153" hidden="1" customWidth="1"/>
    <col min="18" max="19" width="0" style="194" hidden="1" customWidth="1"/>
    <col min="20" max="16384" width="10.81640625" style="194"/>
  </cols>
  <sheetData>
    <row r="1" spans="1:17" s="153" customFormat="1" ht="13" hidden="1" x14ac:dyDescent="0.3">
      <c r="A1" s="189"/>
      <c r="B1" s="189" t="s">
        <v>247</v>
      </c>
      <c r="C1" s="189"/>
      <c r="D1" s="190"/>
      <c r="E1" s="189"/>
      <c r="F1" s="189"/>
      <c r="G1" s="191"/>
      <c r="H1" s="152" t="s">
        <v>248</v>
      </c>
      <c r="I1" s="152"/>
      <c r="J1" s="152"/>
      <c r="K1" s="152"/>
    </row>
    <row r="2" spans="1:17" s="153" customFormat="1" x14ac:dyDescent="0.25">
      <c r="D2" s="192"/>
      <c r="G2" s="193"/>
    </row>
    <row r="3" spans="1:17" ht="15.5" x14ac:dyDescent="0.35">
      <c r="B3" s="470" t="s">
        <v>266</v>
      </c>
      <c r="C3" s="470"/>
      <c r="D3" s="470"/>
      <c r="E3" s="470"/>
      <c r="F3" s="470"/>
      <c r="G3" s="470"/>
    </row>
    <row r="4" spans="1:17" x14ac:dyDescent="0.25">
      <c r="B4" s="471"/>
      <c r="C4" s="471"/>
      <c r="D4" s="471"/>
      <c r="E4" s="471"/>
      <c r="F4" s="471"/>
      <c r="G4" s="471"/>
      <c r="K4" s="195" t="s">
        <v>267</v>
      </c>
      <c r="O4" s="195" t="s">
        <v>268</v>
      </c>
    </row>
    <row r="5" spans="1:17" ht="13" x14ac:dyDescent="0.3">
      <c r="B5" s="196"/>
      <c r="C5" s="196"/>
      <c r="D5" s="196"/>
      <c r="E5" s="196"/>
      <c r="F5" s="196"/>
      <c r="G5" s="196"/>
      <c r="O5" s="152" t="s">
        <v>269</v>
      </c>
      <c r="P5" s="153" t="s">
        <v>270</v>
      </c>
    </row>
    <row r="6" spans="1:17" ht="26" x14ac:dyDescent="0.3">
      <c r="B6" s="197" t="s">
        <v>271</v>
      </c>
      <c r="C6" s="197" t="s">
        <v>197</v>
      </c>
      <c r="D6" s="198" t="s">
        <v>198</v>
      </c>
      <c r="E6" s="199" t="s">
        <v>272</v>
      </c>
      <c r="F6" s="199" t="s">
        <v>273</v>
      </c>
      <c r="G6" s="200" t="s">
        <v>274</v>
      </c>
      <c r="K6" s="195" t="s">
        <v>275</v>
      </c>
      <c r="L6" s="195"/>
    </row>
    <row r="7" spans="1:17" x14ac:dyDescent="0.25">
      <c r="A7" s="201">
        <v>1</v>
      </c>
      <c r="B7" s="202" t="s">
        <v>203</v>
      </c>
      <c r="C7" s="203">
        <v>50782</v>
      </c>
      <c r="D7" s="204">
        <f t="shared" ref="D7:D40" si="0">C7/$C$42</f>
        <v>1.6760798043968461E-2</v>
      </c>
      <c r="E7" s="205">
        <f>SUM(D7*G$50)</f>
        <v>1284.1453671439529</v>
      </c>
      <c r="F7" s="206">
        <f>G$49/34</f>
        <v>1126.7057696823529</v>
      </c>
      <c r="G7" s="207">
        <f>SUM(E7+F7)</f>
        <v>2410.8511368263057</v>
      </c>
      <c r="J7" s="153" t="b">
        <f t="shared" ref="J7:J40" si="1">K7=B7</f>
        <v>1</v>
      </c>
      <c r="K7" s="208" t="s">
        <v>203</v>
      </c>
      <c r="L7" s="209">
        <v>50782</v>
      </c>
      <c r="M7" s="210">
        <f>C7-L7</f>
        <v>0</v>
      </c>
      <c r="O7" s="211">
        <v>2293.4964449164427</v>
      </c>
      <c r="P7" s="212">
        <f>G7-O7</f>
        <v>117.35469190986305</v>
      </c>
    </row>
    <row r="8" spans="1:17" x14ac:dyDescent="0.25">
      <c r="A8" s="213">
        <v>2</v>
      </c>
      <c r="B8" s="214" t="s">
        <v>204</v>
      </c>
      <c r="C8" s="215">
        <v>341245</v>
      </c>
      <c r="D8" s="216">
        <f t="shared" si="0"/>
        <v>0.11262924911413529</v>
      </c>
      <c r="E8" s="217">
        <f t="shared" ref="E8:E37" si="2">SUM(D8*G$50)</f>
        <v>8629.2029815887181</v>
      </c>
      <c r="F8" s="218">
        <f t="shared" ref="F8:F40" si="3">G$49/34</f>
        <v>1126.7057696823529</v>
      </c>
      <c r="G8" s="219">
        <f t="shared" ref="G8:G40" si="4">SUM(E8+F8)</f>
        <v>9755.9087512710703</v>
      </c>
      <c r="J8" s="153" t="b">
        <f t="shared" si="1"/>
        <v>1</v>
      </c>
      <c r="K8" s="208" t="s">
        <v>204</v>
      </c>
      <c r="L8" s="209">
        <v>341245</v>
      </c>
      <c r="M8" s="210">
        <f t="shared" ref="M8:M40" si="5">C8-L8</f>
        <v>0</v>
      </c>
      <c r="O8" s="211">
        <v>9677.7829154681567</v>
      </c>
      <c r="P8" s="212">
        <f t="shared" ref="P8:P40" si="6">G8-O8</f>
        <v>78.125835802913571</v>
      </c>
    </row>
    <row r="9" spans="1:17" x14ac:dyDescent="0.25">
      <c r="A9" s="213">
        <v>3</v>
      </c>
      <c r="B9" s="214" t="s">
        <v>205</v>
      </c>
      <c r="C9" s="215">
        <v>46872</v>
      </c>
      <c r="D9" s="216">
        <f t="shared" si="0"/>
        <v>1.547028722612126E-2</v>
      </c>
      <c r="E9" s="217">
        <f t="shared" si="2"/>
        <v>1185.2715853800828</v>
      </c>
      <c r="F9" s="218">
        <f t="shared" si="3"/>
        <v>1126.7057696823529</v>
      </c>
      <c r="G9" s="219">
        <f t="shared" si="4"/>
        <v>2311.9773550624359</v>
      </c>
      <c r="J9" s="153" t="b">
        <f t="shared" si="1"/>
        <v>1</v>
      </c>
      <c r="K9" s="208" t="s">
        <v>205</v>
      </c>
      <c r="L9" s="209">
        <v>46872</v>
      </c>
      <c r="M9" s="210">
        <f t="shared" si="5"/>
        <v>0</v>
      </c>
      <c r="O9" s="211">
        <v>2179.7854125398976</v>
      </c>
      <c r="P9" s="212">
        <f t="shared" si="6"/>
        <v>132.19194252253828</v>
      </c>
    </row>
    <row r="10" spans="1:17" x14ac:dyDescent="0.25">
      <c r="A10" s="213">
        <v>4</v>
      </c>
      <c r="B10" s="214" t="s">
        <v>206</v>
      </c>
      <c r="C10" s="215">
        <v>83430</v>
      </c>
      <c r="D10" s="216">
        <f t="shared" si="0"/>
        <v>2.7536398346033809E-2</v>
      </c>
      <c r="E10" s="217">
        <f t="shared" si="2"/>
        <v>2109.7288011661612</v>
      </c>
      <c r="F10" s="218">
        <f t="shared" si="3"/>
        <v>1126.7057696823529</v>
      </c>
      <c r="G10" s="219">
        <f t="shared" si="4"/>
        <v>3236.4345708485143</v>
      </c>
      <c r="J10" s="153" t="b">
        <f t="shared" si="1"/>
        <v>1</v>
      </c>
      <c r="K10" s="208" t="s">
        <v>206</v>
      </c>
      <c r="L10" s="209">
        <v>83430</v>
      </c>
      <c r="M10" s="210">
        <f t="shared" si="5"/>
        <v>0</v>
      </c>
      <c r="O10" s="211">
        <v>3067.1254168999822</v>
      </c>
      <c r="P10" s="212">
        <f t="shared" si="6"/>
        <v>169.30915394853218</v>
      </c>
    </row>
    <row r="11" spans="1:17" x14ac:dyDescent="0.25">
      <c r="A11" s="213">
        <v>5</v>
      </c>
      <c r="B11" s="214" t="s">
        <v>207</v>
      </c>
      <c r="C11" s="215">
        <v>111394</v>
      </c>
      <c r="D11" s="216">
        <f t="shared" si="0"/>
        <v>3.6766026098023374E-2</v>
      </c>
      <c r="E11" s="217">
        <f t="shared" si="2"/>
        <v>2816.8659963694518</v>
      </c>
      <c r="F11" s="218">
        <f t="shared" si="3"/>
        <v>1126.7057696823529</v>
      </c>
      <c r="G11" s="219">
        <f t="shared" si="4"/>
        <v>3943.5717660518048</v>
      </c>
      <c r="J11" s="153" t="b">
        <f t="shared" si="1"/>
        <v>1</v>
      </c>
      <c r="K11" s="208" t="s">
        <v>207</v>
      </c>
      <c r="L11" s="209">
        <v>111394</v>
      </c>
      <c r="M11" s="210">
        <f t="shared" si="5"/>
        <v>0</v>
      </c>
      <c r="O11" s="211">
        <v>3824.7288178107792</v>
      </c>
      <c r="P11" s="212">
        <f t="shared" si="6"/>
        <v>118.84294824102562</v>
      </c>
    </row>
    <row r="12" spans="1:17" x14ac:dyDescent="0.25">
      <c r="A12" s="213">
        <v>6</v>
      </c>
      <c r="B12" s="214" t="s">
        <v>208</v>
      </c>
      <c r="C12" s="215">
        <v>49810</v>
      </c>
      <c r="D12" s="216">
        <f t="shared" si="0"/>
        <v>1.6439985636053506E-2</v>
      </c>
      <c r="E12" s="217">
        <f t="shared" si="2"/>
        <v>1259.5660024701724</v>
      </c>
      <c r="F12" s="218">
        <f t="shared" si="3"/>
        <v>1126.7057696823529</v>
      </c>
      <c r="G12" s="219">
        <f t="shared" si="4"/>
        <v>2386.271772152525</v>
      </c>
      <c r="J12" s="153" t="b">
        <f t="shared" si="1"/>
        <v>1</v>
      </c>
      <c r="K12" s="208" t="s">
        <v>208</v>
      </c>
      <c r="L12" s="209">
        <v>49810</v>
      </c>
      <c r="M12" s="210">
        <f t="shared" si="5"/>
        <v>0</v>
      </c>
      <c r="O12" s="211">
        <v>2262.3207512665858</v>
      </c>
      <c r="P12" s="212">
        <f t="shared" si="6"/>
        <v>123.95102088593922</v>
      </c>
    </row>
    <row r="13" spans="1:17" x14ac:dyDescent="0.25">
      <c r="A13" s="213">
        <v>7</v>
      </c>
      <c r="B13" s="214" t="s">
        <v>209</v>
      </c>
      <c r="C13" s="215">
        <v>32943</v>
      </c>
      <c r="D13" s="216">
        <f t="shared" si="0"/>
        <v>1.08729662077597E-2</v>
      </c>
      <c r="E13" s="217">
        <f t="shared" si="2"/>
        <v>833.04322062587619</v>
      </c>
      <c r="F13" s="218">
        <f t="shared" si="3"/>
        <v>1126.7057696823529</v>
      </c>
      <c r="G13" s="219">
        <f t="shared" si="4"/>
        <v>1959.7489903082292</v>
      </c>
      <c r="J13" s="153" t="b">
        <f t="shared" si="1"/>
        <v>1</v>
      </c>
      <c r="K13" s="208" t="s">
        <v>209</v>
      </c>
      <c r="L13" s="209">
        <v>32943</v>
      </c>
      <c r="M13" s="210">
        <f t="shared" si="5"/>
        <v>0</v>
      </c>
      <c r="O13" s="211">
        <v>1889.2337840465354</v>
      </c>
      <c r="P13" s="212">
        <f t="shared" si="6"/>
        <v>70.51520626169372</v>
      </c>
    </row>
    <row r="14" spans="1:17" x14ac:dyDescent="0.25">
      <c r="A14" s="213">
        <v>8</v>
      </c>
      <c r="B14" s="214" t="s">
        <v>210</v>
      </c>
      <c r="C14" s="215">
        <v>56564</v>
      </c>
      <c r="D14" s="216">
        <f t="shared" si="0"/>
        <v>1.8669169795577804E-2</v>
      </c>
      <c r="E14" s="217">
        <f t="shared" si="2"/>
        <v>1430.3571845758449</v>
      </c>
      <c r="F14" s="218">
        <f t="shared" si="3"/>
        <v>1126.7057696823529</v>
      </c>
      <c r="G14" s="219">
        <f t="shared" si="4"/>
        <v>2557.0629542581978</v>
      </c>
      <c r="J14" s="153" t="b">
        <f t="shared" si="1"/>
        <v>1</v>
      </c>
      <c r="K14" s="208" t="s">
        <v>210</v>
      </c>
      <c r="L14" s="209">
        <v>56564</v>
      </c>
      <c r="M14" s="210">
        <f t="shared" si="5"/>
        <v>0</v>
      </c>
      <c r="O14" s="211">
        <v>2418.4910356810797</v>
      </c>
      <c r="P14" s="212">
        <f t="shared" si="6"/>
        <v>138.57191857711814</v>
      </c>
    </row>
    <row r="15" spans="1:17" s="220" customFormat="1" x14ac:dyDescent="0.25">
      <c r="A15" s="213">
        <v>9</v>
      </c>
      <c r="B15" s="214" t="s">
        <v>211</v>
      </c>
      <c r="C15" s="215">
        <v>142732</v>
      </c>
      <c r="D15" s="216">
        <f t="shared" si="0"/>
        <v>4.7109255768022266E-2</v>
      </c>
      <c r="E15" s="217">
        <f t="shared" si="2"/>
        <v>3609.3229203889314</v>
      </c>
      <c r="F15" s="218">
        <f t="shared" si="3"/>
        <v>1126.7057696823529</v>
      </c>
      <c r="G15" s="219">
        <f t="shared" si="4"/>
        <v>4736.0286900712845</v>
      </c>
      <c r="H15" s="153"/>
      <c r="I15" s="153"/>
      <c r="J15" s="153" t="b">
        <f t="shared" si="1"/>
        <v>1</v>
      </c>
      <c r="K15" s="208" t="s">
        <v>211</v>
      </c>
      <c r="L15" s="209">
        <v>142732</v>
      </c>
      <c r="M15" s="210">
        <f t="shared" si="5"/>
        <v>0</v>
      </c>
      <c r="N15" s="153"/>
      <c r="O15" s="211">
        <v>4472.8282027267978</v>
      </c>
      <c r="P15" s="212">
        <f t="shared" si="6"/>
        <v>263.20048734448665</v>
      </c>
      <c r="Q15" s="153"/>
    </row>
    <row r="16" spans="1:17" s="220" customFormat="1" x14ac:dyDescent="0.25">
      <c r="A16" s="213">
        <v>10</v>
      </c>
      <c r="B16" s="214" t="s">
        <v>212</v>
      </c>
      <c r="C16" s="215">
        <v>170526</v>
      </c>
      <c r="D16" s="216">
        <f t="shared" si="0"/>
        <v>5.6282774354018475E-2</v>
      </c>
      <c r="E16" s="217">
        <f t="shared" si="2"/>
        <v>4312.1612555155316</v>
      </c>
      <c r="F16" s="218">
        <f t="shared" si="3"/>
        <v>1126.7057696823529</v>
      </c>
      <c r="G16" s="219">
        <f t="shared" si="4"/>
        <v>5438.8670251978847</v>
      </c>
      <c r="H16" s="153"/>
      <c r="I16" s="153"/>
      <c r="J16" s="153" t="b">
        <f t="shared" si="1"/>
        <v>1</v>
      </c>
      <c r="K16" s="208" t="s">
        <v>212</v>
      </c>
      <c r="L16" s="209">
        <v>170526</v>
      </c>
      <c r="M16" s="210">
        <f t="shared" si="5"/>
        <v>0</v>
      </c>
      <c r="N16" s="153"/>
      <c r="O16" s="211">
        <v>5276.416967671822</v>
      </c>
      <c r="P16" s="212">
        <f t="shared" si="6"/>
        <v>162.45005752606266</v>
      </c>
      <c r="Q16" s="153"/>
    </row>
    <row r="17" spans="1:17" x14ac:dyDescent="0.25">
      <c r="A17" s="213">
        <v>11</v>
      </c>
      <c r="B17" s="214" t="s">
        <v>213</v>
      </c>
      <c r="C17" s="215">
        <v>196100</v>
      </c>
      <c r="D17" s="216">
        <f t="shared" si="0"/>
        <v>6.4723573242924964E-2</v>
      </c>
      <c r="E17" s="217">
        <f t="shared" si="2"/>
        <v>4958.861535523004</v>
      </c>
      <c r="F17" s="218">
        <f t="shared" si="3"/>
        <v>1126.7057696823529</v>
      </c>
      <c r="G17" s="219">
        <f t="shared" si="4"/>
        <v>6085.5673052053571</v>
      </c>
      <c r="J17" s="153" t="b">
        <f t="shared" si="1"/>
        <v>1</v>
      </c>
      <c r="K17" s="208" t="s">
        <v>213</v>
      </c>
      <c r="L17" s="209">
        <v>196100</v>
      </c>
      <c r="M17" s="210">
        <f t="shared" si="5"/>
        <v>0</v>
      </c>
      <c r="O17" s="211">
        <v>5869.7278675698017</v>
      </c>
      <c r="P17" s="212">
        <f t="shared" si="6"/>
        <v>215.83943763555544</v>
      </c>
    </row>
    <row r="18" spans="1:17" x14ac:dyDescent="0.25">
      <c r="A18" s="213">
        <v>12</v>
      </c>
      <c r="B18" s="214" t="s">
        <v>214</v>
      </c>
      <c r="C18" s="215">
        <v>310250</v>
      </c>
      <c r="D18" s="216">
        <f t="shared" si="0"/>
        <v>0.10239922793787593</v>
      </c>
      <c r="E18" s="217">
        <f t="shared" si="2"/>
        <v>7845.4196399592647</v>
      </c>
      <c r="F18" s="218">
        <f t="shared" si="3"/>
        <v>1126.7057696823529</v>
      </c>
      <c r="G18" s="219">
        <f t="shared" si="4"/>
        <v>8972.1254096416178</v>
      </c>
      <c r="J18" s="153" t="b">
        <f t="shared" si="1"/>
        <v>1</v>
      </c>
      <c r="K18" s="208" t="s">
        <v>214</v>
      </c>
      <c r="L18" s="209">
        <v>310250</v>
      </c>
      <c r="M18" s="210">
        <f t="shared" si="5"/>
        <v>0</v>
      </c>
      <c r="O18" s="211">
        <v>7686.0403158598256</v>
      </c>
      <c r="P18" s="212">
        <f t="shared" si="6"/>
        <v>1286.0850937817922</v>
      </c>
    </row>
    <row r="19" spans="1:17" x14ac:dyDescent="0.25">
      <c r="A19" s="213">
        <v>13</v>
      </c>
      <c r="B19" s="214" t="s">
        <v>215</v>
      </c>
      <c r="C19" s="215">
        <v>22706</v>
      </c>
      <c r="D19" s="216">
        <f t="shared" si="0"/>
        <v>7.4942042532068036E-3</v>
      </c>
      <c r="E19" s="217">
        <f t="shared" si="2"/>
        <v>574.17598177249022</v>
      </c>
      <c r="F19" s="218">
        <f t="shared" si="3"/>
        <v>1126.7057696823529</v>
      </c>
      <c r="G19" s="219">
        <f t="shared" si="4"/>
        <v>1700.8817514548432</v>
      </c>
      <c r="J19" s="153" t="b">
        <f t="shared" si="1"/>
        <v>1</v>
      </c>
      <c r="K19" s="208" t="s">
        <v>215</v>
      </c>
      <c r="L19" s="209">
        <v>22706</v>
      </c>
      <c r="M19" s="210">
        <f t="shared" si="5"/>
        <v>0</v>
      </c>
      <c r="O19" s="211">
        <v>1629.1769448175419</v>
      </c>
      <c r="P19" s="212">
        <f t="shared" si="6"/>
        <v>71.704806637301317</v>
      </c>
    </row>
    <row r="20" spans="1:17" x14ac:dyDescent="0.25">
      <c r="A20" s="213">
        <v>14</v>
      </c>
      <c r="B20" s="214" t="s">
        <v>216</v>
      </c>
      <c r="C20" s="215">
        <v>30750</v>
      </c>
      <c r="D20" s="216">
        <f t="shared" si="0"/>
        <v>1.0149157966445398E-2</v>
      </c>
      <c r="E20" s="217">
        <f t="shared" si="2"/>
        <v>777.58792563657505</v>
      </c>
      <c r="F20" s="218">
        <f t="shared" si="3"/>
        <v>1126.7057696823529</v>
      </c>
      <c r="G20" s="219">
        <f t="shared" si="4"/>
        <v>1904.2936953189278</v>
      </c>
      <c r="J20" s="153" t="b">
        <f t="shared" si="1"/>
        <v>1</v>
      </c>
      <c r="K20" s="208" t="s">
        <v>216</v>
      </c>
      <c r="L20" s="209">
        <v>30750</v>
      </c>
      <c r="M20" s="210">
        <f t="shared" si="5"/>
        <v>0</v>
      </c>
      <c r="O20" s="211">
        <v>1837.7768669146344</v>
      </c>
      <c r="P20" s="212">
        <f t="shared" si="6"/>
        <v>66.516828404293392</v>
      </c>
    </row>
    <row r="21" spans="1:17" x14ac:dyDescent="0.25">
      <c r="A21" s="213">
        <v>15</v>
      </c>
      <c r="B21" s="214" t="s">
        <v>217</v>
      </c>
      <c r="C21" s="215">
        <v>64316</v>
      </c>
      <c r="D21" s="216">
        <f t="shared" si="0"/>
        <v>2.122774776487487E-2</v>
      </c>
      <c r="E21" s="217">
        <f t="shared" si="2"/>
        <v>1626.3852040729093</v>
      </c>
      <c r="F21" s="218">
        <f t="shared" si="3"/>
        <v>1126.7057696823529</v>
      </c>
      <c r="G21" s="219">
        <f t="shared" si="4"/>
        <v>2753.090973755262</v>
      </c>
      <c r="J21" s="153" t="b">
        <f t="shared" si="1"/>
        <v>1</v>
      </c>
      <c r="K21" s="208" t="s">
        <v>217</v>
      </c>
      <c r="L21" s="209">
        <v>64316</v>
      </c>
      <c r="M21" s="210">
        <f t="shared" si="5"/>
        <v>0</v>
      </c>
      <c r="O21" s="211">
        <v>2666.8995463154697</v>
      </c>
      <c r="P21" s="212">
        <f t="shared" si="6"/>
        <v>86.191427439792278</v>
      </c>
    </row>
    <row r="22" spans="1:17" x14ac:dyDescent="0.25">
      <c r="A22" s="213">
        <v>16</v>
      </c>
      <c r="B22" s="214" t="s">
        <v>218</v>
      </c>
      <c r="C22" s="215">
        <v>17514</v>
      </c>
      <c r="D22" s="216">
        <f t="shared" si="0"/>
        <v>5.7805643129861693E-3</v>
      </c>
      <c r="E22" s="217">
        <f t="shared" si="2"/>
        <v>442.88373754793417</v>
      </c>
      <c r="F22" s="218">
        <f t="shared" si="3"/>
        <v>1126.7057696823529</v>
      </c>
      <c r="G22" s="219">
        <f t="shared" si="4"/>
        <v>1569.5895072302869</v>
      </c>
      <c r="J22" s="153" t="b">
        <f t="shared" si="1"/>
        <v>1</v>
      </c>
      <c r="K22" s="208" t="s">
        <v>218</v>
      </c>
      <c r="L22" s="209">
        <v>17514</v>
      </c>
      <c r="M22" s="210">
        <f t="shared" si="5"/>
        <v>0</v>
      </c>
      <c r="O22" s="211">
        <v>1472.106893893653</v>
      </c>
      <c r="P22" s="212">
        <f t="shared" si="6"/>
        <v>97.482613336633904</v>
      </c>
    </row>
    <row r="23" spans="1:17" x14ac:dyDescent="0.25">
      <c r="A23" s="213">
        <v>17</v>
      </c>
      <c r="B23" s="214" t="s">
        <v>219</v>
      </c>
      <c r="C23" s="215">
        <v>61792</v>
      </c>
      <c r="D23" s="216">
        <f t="shared" si="0"/>
        <v>2.0394691676832326E-2</v>
      </c>
      <c r="E23" s="217">
        <f t="shared" si="2"/>
        <v>1562.5597756401705</v>
      </c>
      <c r="F23" s="218">
        <f t="shared" si="3"/>
        <v>1126.7057696823529</v>
      </c>
      <c r="G23" s="219">
        <f t="shared" si="4"/>
        <v>2689.2655453225234</v>
      </c>
      <c r="J23" s="153" t="b">
        <f t="shared" si="1"/>
        <v>1</v>
      </c>
      <c r="K23" s="208" t="s">
        <v>219</v>
      </c>
      <c r="L23" s="209">
        <v>61792</v>
      </c>
      <c r="M23" s="210">
        <f t="shared" si="5"/>
        <v>0</v>
      </c>
      <c r="O23" s="211">
        <v>2609.5090338243135</v>
      </c>
      <c r="P23" s="212">
        <f t="shared" si="6"/>
        <v>79.756511498209875</v>
      </c>
    </row>
    <row r="24" spans="1:17" x14ac:dyDescent="0.25">
      <c r="A24" s="213">
        <v>18</v>
      </c>
      <c r="B24" s="214" t="s">
        <v>220</v>
      </c>
      <c r="C24" s="215">
        <v>86775</v>
      </c>
      <c r="D24" s="216">
        <f t="shared" si="0"/>
        <v>2.8640428700432503E-2</v>
      </c>
      <c r="E24" s="217">
        <f t="shared" si="2"/>
        <v>2194.3151950280912</v>
      </c>
      <c r="F24" s="218">
        <f t="shared" si="3"/>
        <v>1126.7057696823529</v>
      </c>
      <c r="G24" s="219">
        <f t="shared" si="4"/>
        <v>3321.0209647104439</v>
      </c>
      <c r="J24" s="153" t="b">
        <f t="shared" si="1"/>
        <v>1</v>
      </c>
      <c r="K24" s="208" t="s">
        <v>220</v>
      </c>
      <c r="L24" s="209">
        <v>86775</v>
      </c>
      <c r="M24" s="210">
        <f t="shared" si="5"/>
        <v>0</v>
      </c>
      <c r="O24" s="211">
        <v>3137.9394729907649</v>
      </c>
      <c r="P24" s="212">
        <f t="shared" si="6"/>
        <v>183.08149171967898</v>
      </c>
    </row>
    <row r="25" spans="1:17" x14ac:dyDescent="0.25">
      <c r="A25" s="213">
        <v>19</v>
      </c>
      <c r="B25" s="214" t="s">
        <v>221</v>
      </c>
      <c r="C25" s="215">
        <v>15332</v>
      </c>
      <c r="D25" s="216">
        <f t="shared" si="0"/>
        <v>5.060386664765556E-3</v>
      </c>
      <c r="E25" s="217">
        <f t="shared" si="2"/>
        <v>387.70660409300712</v>
      </c>
      <c r="F25" s="218">
        <f t="shared" si="3"/>
        <v>1126.7057696823529</v>
      </c>
      <c r="G25" s="219">
        <f t="shared" si="4"/>
        <v>1514.41237377536</v>
      </c>
      <c r="J25" s="153" t="b">
        <f t="shared" si="1"/>
        <v>1</v>
      </c>
      <c r="K25" s="208" t="s">
        <v>221</v>
      </c>
      <c r="L25" s="209">
        <v>15332</v>
      </c>
      <c r="M25" s="210">
        <f t="shared" si="5"/>
        <v>0</v>
      </c>
      <c r="O25" s="211">
        <v>1457.6619937157943</v>
      </c>
      <c r="P25" s="212">
        <f t="shared" si="6"/>
        <v>56.750380059565714</v>
      </c>
    </row>
    <row r="26" spans="1:17" x14ac:dyDescent="0.25">
      <c r="A26" s="213">
        <v>20</v>
      </c>
      <c r="B26" s="214" t="s">
        <v>222</v>
      </c>
      <c r="C26" s="215">
        <v>11873</v>
      </c>
      <c r="D26" s="216">
        <f t="shared" si="0"/>
        <v>3.9187301637595515E-3</v>
      </c>
      <c r="E26" s="217">
        <f t="shared" si="2"/>
        <v>300.23744523847336</v>
      </c>
      <c r="F26" s="218">
        <f t="shared" si="3"/>
        <v>1126.7057696823529</v>
      </c>
      <c r="G26" s="219">
        <f t="shared" si="4"/>
        <v>1426.9432149208262</v>
      </c>
      <c r="J26" s="153" t="b">
        <f t="shared" si="1"/>
        <v>1</v>
      </c>
      <c r="K26" s="208" t="s">
        <v>222</v>
      </c>
      <c r="L26" s="209">
        <v>11873</v>
      </c>
      <c r="M26" s="210">
        <f t="shared" si="5"/>
        <v>0</v>
      </c>
      <c r="O26" s="211">
        <v>1362.7244679677119</v>
      </c>
      <c r="P26" s="212">
        <f t="shared" si="6"/>
        <v>64.218746953114305</v>
      </c>
    </row>
    <row r="27" spans="1:17" s="220" customFormat="1" x14ac:dyDescent="0.25">
      <c r="A27" s="213">
        <v>21</v>
      </c>
      <c r="B27" s="214" t="s">
        <v>223</v>
      </c>
      <c r="C27" s="215">
        <v>92515</v>
      </c>
      <c r="D27" s="216">
        <f t="shared" si="0"/>
        <v>3.053493818750231E-2</v>
      </c>
      <c r="E27" s="217">
        <f t="shared" si="2"/>
        <v>2339.4649411469186</v>
      </c>
      <c r="F27" s="218">
        <f t="shared" si="3"/>
        <v>1126.7057696823529</v>
      </c>
      <c r="G27" s="219">
        <f t="shared" si="4"/>
        <v>3466.1707108292712</v>
      </c>
      <c r="H27" s="153"/>
      <c r="I27" s="153"/>
      <c r="J27" s="153" t="b">
        <f t="shared" si="1"/>
        <v>1</v>
      </c>
      <c r="K27" s="208" t="s">
        <v>223</v>
      </c>
      <c r="L27" s="209">
        <v>92515</v>
      </c>
      <c r="M27" s="210">
        <f t="shared" si="5"/>
        <v>0</v>
      </c>
      <c r="N27" s="153"/>
      <c r="O27" s="211">
        <v>3370.9303628965986</v>
      </c>
      <c r="P27" s="212">
        <f t="shared" si="6"/>
        <v>95.240347932672648</v>
      </c>
      <c r="Q27" s="153"/>
    </row>
    <row r="28" spans="1:17" x14ac:dyDescent="0.25">
      <c r="A28" s="213">
        <v>22</v>
      </c>
      <c r="B28" s="214" t="s">
        <v>224</v>
      </c>
      <c r="C28" s="215">
        <v>83727</v>
      </c>
      <c r="D28" s="216">
        <f t="shared" si="0"/>
        <v>2.7634424359563377E-2</v>
      </c>
      <c r="E28" s="217">
        <f>SUM(D28*G$50)</f>
        <v>2117.2391625942605</v>
      </c>
      <c r="F28" s="218">
        <f>G$49/34</f>
        <v>1126.7057696823529</v>
      </c>
      <c r="G28" s="219">
        <f t="shared" si="4"/>
        <v>3243.9449322766131</v>
      </c>
      <c r="J28" s="153" t="b">
        <f t="shared" si="1"/>
        <v>1</v>
      </c>
      <c r="K28" s="208" t="s">
        <v>224</v>
      </c>
      <c r="L28" s="209">
        <v>83727</v>
      </c>
      <c r="M28" s="210">
        <f t="shared" si="5"/>
        <v>0</v>
      </c>
      <c r="O28" s="211">
        <v>3170.2094772601563</v>
      </c>
      <c r="P28" s="212">
        <f t="shared" si="6"/>
        <v>73.735455016456854</v>
      </c>
    </row>
    <row r="29" spans="1:17" x14ac:dyDescent="0.25">
      <c r="A29" s="213">
        <v>23</v>
      </c>
      <c r="B29" s="214" t="s">
        <v>225</v>
      </c>
      <c r="C29" s="215">
        <v>137676</v>
      </c>
      <c r="D29" s="216">
        <f t="shared" si="0"/>
        <v>4.5440503160596314E-2</v>
      </c>
      <c r="E29" s="217">
        <f t="shared" si="2"/>
        <v>3481.469764225727</v>
      </c>
      <c r="F29" s="218">
        <f t="shared" si="3"/>
        <v>1126.7057696823529</v>
      </c>
      <c r="G29" s="219">
        <f t="shared" si="4"/>
        <v>4608.1755339080801</v>
      </c>
      <c r="J29" s="153" t="b">
        <f t="shared" si="1"/>
        <v>1</v>
      </c>
      <c r="K29" s="208" t="s">
        <v>225</v>
      </c>
      <c r="L29" s="209">
        <v>137676</v>
      </c>
      <c r="M29" s="210">
        <f t="shared" si="5"/>
        <v>0</v>
      </c>
      <c r="O29" s="211">
        <v>4422.6115042970359</v>
      </c>
      <c r="P29" s="212">
        <f t="shared" si="6"/>
        <v>185.56402961104413</v>
      </c>
    </row>
    <row r="30" spans="1:17" x14ac:dyDescent="0.25">
      <c r="A30" s="213">
        <v>24</v>
      </c>
      <c r="B30" s="214" t="s">
        <v>226</v>
      </c>
      <c r="C30" s="215">
        <v>51204</v>
      </c>
      <c r="D30" s="216">
        <f t="shared" si="0"/>
        <v>1.690008079719903E-2</v>
      </c>
      <c r="E30" s="217">
        <f>SUM(D30*G$50)</f>
        <v>1294.8166550990306</v>
      </c>
      <c r="F30" s="218">
        <f t="shared" si="3"/>
        <v>1126.7057696823529</v>
      </c>
      <c r="G30" s="219">
        <f t="shared" si="4"/>
        <v>2421.5224247813835</v>
      </c>
      <c r="J30" s="153" t="b">
        <f t="shared" si="1"/>
        <v>1</v>
      </c>
      <c r="K30" s="208" t="s">
        <v>226</v>
      </c>
      <c r="L30" s="209">
        <v>51204</v>
      </c>
      <c r="M30" s="210">
        <f t="shared" si="5"/>
        <v>0</v>
      </c>
      <c r="O30" s="211">
        <v>2326.5689436401599</v>
      </c>
      <c r="P30" s="212">
        <f t="shared" si="6"/>
        <v>94.953481141223619</v>
      </c>
    </row>
    <row r="31" spans="1:17" x14ac:dyDescent="0.25">
      <c r="A31" s="213">
        <v>25</v>
      </c>
      <c r="B31" s="214" t="s">
        <v>227</v>
      </c>
      <c r="C31" s="215">
        <v>47279</v>
      </c>
      <c r="D31" s="216">
        <f t="shared" si="0"/>
        <v>1.5604619170587707E-2</v>
      </c>
      <c r="E31" s="217">
        <f t="shared" si="2"/>
        <v>1195.563562151923</v>
      </c>
      <c r="F31" s="218">
        <f t="shared" si="3"/>
        <v>1126.7057696823529</v>
      </c>
      <c r="G31" s="219">
        <f t="shared" si="4"/>
        <v>2322.2693318342758</v>
      </c>
      <c r="J31" s="153" t="b">
        <f t="shared" si="1"/>
        <v>1</v>
      </c>
      <c r="K31" s="208" t="s">
        <v>227</v>
      </c>
      <c r="L31" s="209">
        <v>47279</v>
      </c>
      <c r="M31" s="210">
        <f t="shared" si="5"/>
        <v>0</v>
      </c>
      <c r="O31" s="211">
        <v>2253.8580824755172</v>
      </c>
      <c r="P31" s="212">
        <f t="shared" si="6"/>
        <v>68.411249358758596</v>
      </c>
    </row>
    <row r="32" spans="1:17" s="220" customFormat="1" x14ac:dyDescent="0.25">
      <c r="A32" s="213">
        <v>26</v>
      </c>
      <c r="B32" s="214" t="s">
        <v>228</v>
      </c>
      <c r="C32" s="215">
        <v>63380</v>
      </c>
      <c r="D32" s="216">
        <f t="shared" si="0"/>
        <v>2.0918817297993799E-2</v>
      </c>
      <c r="E32" s="217">
        <f t="shared" si="2"/>
        <v>1602.7161862388984</v>
      </c>
      <c r="F32" s="218">
        <f t="shared" si="3"/>
        <v>1126.7057696823529</v>
      </c>
      <c r="G32" s="219">
        <f t="shared" si="4"/>
        <v>2729.4219559212515</v>
      </c>
      <c r="H32" s="153"/>
      <c r="I32" s="153"/>
      <c r="J32" s="153" t="b">
        <f t="shared" si="1"/>
        <v>1</v>
      </c>
      <c r="K32" s="208" t="s">
        <v>228</v>
      </c>
      <c r="L32" s="209">
        <v>63380</v>
      </c>
      <c r="M32" s="210">
        <f t="shared" si="5"/>
        <v>0</v>
      </c>
      <c r="N32" s="153"/>
      <c r="O32" s="211">
        <v>2640.0767771299843</v>
      </c>
      <c r="P32" s="212">
        <f t="shared" si="6"/>
        <v>89.345178791267244</v>
      </c>
      <c r="Q32" s="153"/>
    </row>
    <row r="33" spans="1:16" s="194" customFormat="1" x14ac:dyDescent="0.25">
      <c r="A33" s="213">
        <v>27</v>
      </c>
      <c r="B33" s="214" t="s">
        <v>229</v>
      </c>
      <c r="C33" s="215">
        <v>34798</v>
      </c>
      <c r="D33" s="216">
        <f t="shared" si="0"/>
        <v>1.1485216224922504E-2</v>
      </c>
      <c r="E33" s="217">
        <f t="shared" si="2"/>
        <v>879.95137028622889</v>
      </c>
      <c r="F33" s="218">
        <f t="shared" si="3"/>
        <v>1126.7057696823529</v>
      </c>
      <c r="G33" s="219">
        <f t="shared" si="4"/>
        <v>2006.6571399685818</v>
      </c>
      <c r="H33" s="153"/>
      <c r="I33" s="153"/>
      <c r="J33" s="153" t="b">
        <f t="shared" si="1"/>
        <v>1</v>
      </c>
      <c r="K33" s="208" t="s">
        <v>229</v>
      </c>
      <c r="L33" s="209">
        <v>34798</v>
      </c>
      <c r="M33" s="210">
        <f t="shared" si="5"/>
        <v>0</v>
      </c>
      <c r="N33" s="153"/>
      <c r="O33" s="211">
        <v>1952.7524360070863</v>
      </c>
      <c r="P33" s="212">
        <f t="shared" si="6"/>
        <v>53.904703961495443</v>
      </c>
    </row>
    <row r="34" spans="1:16" s="194" customFormat="1" x14ac:dyDescent="0.25">
      <c r="A34" s="213">
        <v>28</v>
      </c>
      <c r="B34" s="214" t="s">
        <v>230</v>
      </c>
      <c r="C34" s="215">
        <v>308459</v>
      </c>
      <c r="D34" s="216">
        <f t="shared" si="0"/>
        <v>0.10180810137144004</v>
      </c>
      <c r="E34" s="217">
        <f t="shared" si="2"/>
        <v>7800.1298846807258</v>
      </c>
      <c r="F34" s="218">
        <f t="shared" si="3"/>
        <v>1126.7057696823529</v>
      </c>
      <c r="G34" s="219">
        <f t="shared" si="4"/>
        <v>8926.835654363078</v>
      </c>
      <c r="H34" s="153"/>
      <c r="I34" s="153"/>
      <c r="J34" s="153" t="b">
        <f t="shared" si="1"/>
        <v>1</v>
      </c>
      <c r="K34" s="208" t="s">
        <v>230</v>
      </c>
      <c r="L34" s="209">
        <v>308459</v>
      </c>
      <c r="M34" s="210">
        <f t="shared" si="5"/>
        <v>0</v>
      </c>
      <c r="N34" s="153"/>
      <c r="O34" s="211">
        <v>9140.379129221521</v>
      </c>
      <c r="P34" s="212">
        <f t="shared" si="6"/>
        <v>-213.54347485844301</v>
      </c>
    </row>
    <row r="35" spans="1:16" s="194" customFormat="1" x14ac:dyDescent="0.25">
      <c r="A35" s="213">
        <v>29</v>
      </c>
      <c r="B35" s="214" t="s">
        <v>231</v>
      </c>
      <c r="C35" s="215">
        <v>24846</v>
      </c>
      <c r="D35" s="216">
        <f t="shared" si="0"/>
        <v>8.2005196368878826E-3</v>
      </c>
      <c r="E35" s="217">
        <f>SUM(D35*G$50)</f>
        <v>628.29104391435271</v>
      </c>
      <c r="F35" s="218">
        <f t="shared" si="3"/>
        <v>1126.7057696823529</v>
      </c>
      <c r="G35" s="219">
        <f t="shared" si="4"/>
        <v>1754.9968135967056</v>
      </c>
      <c r="H35" s="153"/>
      <c r="I35" s="153"/>
      <c r="J35" s="153" t="b">
        <f t="shared" si="1"/>
        <v>1</v>
      </c>
      <c r="K35" s="208" t="s">
        <v>231</v>
      </c>
      <c r="L35" s="209">
        <v>24846</v>
      </c>
      <c r="M35" s="210">
        <f t="shared" si="5"/>
        <v>0</v>
      </c>
      <c r="N35" s="153"/>
      <c r="O35" s="211">
        <v>1676.5484356365132</v>
      </c>
      <c r="P35" s="212">
        <f t="shared" si="6"/>
        <v>78.448377960192374</v>
      </c>
    </row>
    <row r="36" spans="1:16" s="194" customFormat="1" x14ac:dyDescent="0.25">
      <c r="A36" s="213">
        <v>30</v>
      </c>
      <c r="B36" s="214" t="s">
        <v>232</v>
      </c>
      <c r="C36" s="215">
        <v>39275</v>
      </c>
      <c r="D36" s="216">
        <f t="shared" si="0"/>
        <v>1.2962867614053433E-2</v>
      </c>
      <c r="E36" s="217">
        <f t="shared" si="2"/>
        <v>993.16311477647116</v>
      </c>
      <c r="F36" s="218">
        <f t="shared" si="3"/>
        <v>1126.7057696823529</v>
      </c>
      <c r="G36" s="219">
        <f t="shared" si="4"/>
        <v>2119.8688844588241</v>
      </c>
      <c r="H36" s="153"/>
      <c r="I36" s="153"/>
      <c r="J36" s="153" t="b">
        <f t="shared" si="1"/>
        <v>1</v>
      </c>
      <c r="K36" s="208" t="s">
        <v>232</v>
      </c>
      <c r="L36" s="209">
        <v>39275</v>
      </c>
      <c r="M36" s="210">
        <f t="shared" si="5"/>
        <v>0</v>
      </c>
      <c r="N36" s="153"/>
      <c r="O36" s="211">
        <v>2044.4799839378666</v>
      </c>
      <c r="P36" s="212">
        <f t="shared" si="6"/>
        <v>75.388900520957577</v>
      </c>
    </row>
    <row r="37" spans="1:16" s="194" customFormat="1" x14ac:dyDescent="0.25">
      <c r="A37" s="213">
        <v>31</v>
      </c>
      <c r="B37" s="214" t="s">
        <v>233</v>
      </c>
      <c r="C37" s="215">
        <v>79535</v>
      </c>
      <c r="D37" s="216">
        <f t="shared" si="0"/>
        <v>2.6250838336950723E-2</v>
      </c>
      <c r="E37" s="217">
        <f t="shared" si="2"/>
        <v>2011.2343305855284</v>
      </c>
      <c r="F37" s="218">
        <f t="shared" si="3"/>
        <v>1126.7057696823529</v>
      </c>
      <c r="G37" s="219">
        <f t="shared" si="4"/>
        <v>3137.9401002678815</v>
      </c>
      <c r="H37" s="153"/>
      <c r="I37" s="153"/>
      <c r="J37" s="153" t="b">
        <f t="shared" si="1"/>
        <v>1</v>
      </c>
      <c r="K37" s="208" t="s">
        <v>233</v>
      </c>
      <c r="L37" s="209">
        <v>79535</v>
      </c>
      <c r="M37" s="210">
        <f t="shared" si="5"/>
        <v>0</v>
      </c>
      <c r="N37" s="153"/>
      <c r="O37" s="211">
        <v>3027.8031886380331</v>
      </c>
      <c r="P37" s="212">
        <f t="shared" si="6"/>
        <v>110.13691162984833</v>
      </c>
    </row>
    <row r="38" spans="1:16" s="194" customFormat="1" x14ac:dyDescent="0.25">
      <c r="A38" s="213">
        <v>32</v>
      </c>
      <c r="B38" s="214" t="s">
        <v>234</v>
      </c>
      <c r="C38" s="215">
        <v>5782</v>
      </c>
      <c r="D38" s="216">
        <f t="shared" si="0"/>
        <v>1.908371751609343E-3</v>
      </c>
      <c r="E38" s="217">
        <f>SUM(D38*G$50)</f>
        <v>146.21181743189194</v>
      </c>
      <c r="F38" s="218">
        <f t="shared" si="3"/>
        <v>1126.7057696823529</v>
      </c>
      <c r="G38" s="219">
        <f t="shared" si="4"/>
        <v>1272.9175871142447</v>
      </c>
      <c r="H38" s="153"/>
      <c r="I38" s="153"/>
      <c r="J38" s="153" t="b">
        <f t="shared" si="1"/>
        <v>1</v>
      </c>
      <c r="K38" s="208" t="s">
        <v>234</v>
      </c>
      <c r="L38" s="209">
        <v>5782</v>
      </c>
      <c r="M38" s="210">
        <f t="shared" si="5"/>
        <v>0</v>
      </c>
      <c r="N38" s="153"/>
      <c r="O38" s="211">
        <v>1222.1906664056814</v>
      </c>
      <c r="P38" s="212">
        <f t="shared" si="6"/>
        <v>50.726920708563284</v>
      </c>
    </row>
    <row r="39" spans="1:16" s="194" customFormat="1" x14ac:dyDescent="0.25">
      <c r="A39" s="213">
        <v>33</v>
      </c>
      <c r="B39" s="214" t="s">
        <v>235</v>
      </c>
      <c r="C39" s="215">
        <v>90393</v>
      </c>
      <c r="D39" s="216">
        <f t="shared" si="0"/>
        <v>2.9834563774338175E-2</v>
      </c>
      <c r="E39" s="217">
        <f>SUM(D39*G$50)</f>
        <v>2285.8050524249406</v>
      </c>
      <c r="F39" s="218">
        <f t="shared" si="3"/>
        <v>1126.7057696823529</v>
      </c>
      <c r="G39" s="219">
        <f t="shared" si="4"/>
        <v>3412.5108221072933</v>
      </c>
      <c r="H39" s="153"/>
      <c r="I39" s="153"/>
      <c r="J39" s="153" t="b">
        <f t="shared" si="1"/>
        <v>1</v>
      </c>
      <c r="K39" s="208" t="s">
        <v>235</v>
      </c>
      <c r="L39" s="209">
        <v>90393</v>
      </c>
      <c r="M39" s="210">
        <f t="shared" si="5"/>
        <v>0</v>
      </c>
      <c r="N39" s="153"/>
      <c r="O39" s="211">
        <v>3306.4146723715826</v>
      </c>
      <c r="P39" s="212">
        <f t="shared" si="6"/>
        <v>106.0961497357107</v>
      </c>
    </row>
    <row r="40" spans="1:16" s="194" customFormat="1" x14ac:dyDescent="0.25">
      <c r="A40" s="221">
        <v>34</v>
      </c>
      <c r="B40" s="222" t="s">
        <v>236</v>
      </c>
      <c r="C40" s="223">
        <v>67233</v>
      </c>
      <c r="D40" s="224">
        <f t="shared" si="0"/>
        <v>2.219051504253735E-2</v>
      </c>
      <c r="E40" s="225">
        <f>SUM(D40*G$50)</f>
        <v>1700.1485855064668</v>
      </c>
      <c r="F40" s="225">
        <f t="shared" si="3"/>
        <v>1126.7057696823529</v>
      </c>
      <c r="G40" s="226">
        <f t="shared" si="4"/>
        <v>2826.8543551888197</v>
      </c>
      <c r="H40" s="153"/>
      <c r="I40" s="153"/>
      <c r="J40" s="153" t="b">
        <f t="shared" si="1"/>
        <v>1</v>
      </c>
      <c r="K40" s="227" t="s">
        <v>236</v>
      </c>
      <c r="L40" s="228">
        <v>67233</v>
      </c>
      <c r="M40" s="210">
        <f t="shared" si="5"/>
        <v>0</v>
      </c>
      <c r="N40" s="153"/>
      <c r="O40" s="211">
        <v>2732.0231871846718</v>
      </c>
      <c r="P40" s="212">
        <f t="shared" si="6"/>
        <v>94.831168004147912</v>
      </c>
    </row>
    <row r="41" spans="1:16" s="194" customFormat="1" x14ac:dyDescent="0.25">
      <c r="A41" s="229"/>
      <c r="B41" s="230"/>
      <c r="C41" s="231"/>
      <c r="D41" s="232"/>
      <c r="E41" s="233"/>
      <c r="F41" s="233"/>
      <c r="G41" s="234"/>
      <c r="H41" s="153"/>
      <c r="I41" s="153"/>
      <c r="J41" s="153"/>
      <c r="K41" s="208" t="s">
        <v>256</v>
      </c>
      <c r="L41" s="209">
        <v>132437</v>
      </c>
      <c r="M41" s="210">
        <f>C44-L41</f>
        <v>0</v>
      </c>
      <c r="N41" s="153"/>
      <c r="O41" s="153"/>
      <c r="P41" s="153"/>
    </row>
    <row r="42" spans="1:16" s="194" customFormat="1" ht="13" thickBot="1" x14ac:dyDescent="0.3">
      <c r="A42" s="235"/>
      <c r="B42" s="236" t="s">
        <v>243</v>
      </c>
      <c r="C42" s="237">
        <f>SUM(C7:C40)</f>
        <v>3029808</v>
      </c>
      <c r="D42" s="238">
        <f>SUM(D7:D40)</f>
        <v>1</v>
      </c>
      <c r="E42" s="239">
        <f>SUM(E7:E40)</f>
        <v>76616.003830800022</v>
      </c>
      <c r="F42" s="239">
        <f>SUM(F7:F40)</f>
        <v>38307.996169200014</v>
      </c>
      <c r="G42" s="240">
        <f>SUM(G7:G40)</f>
        <v>114924</v>
      </c>
      <c r="H42" s="153"/>
      <c r="I42" s="153" t="b">
        <f>C42=L42</f>
        <v>1</v>
      </c>
      <c r="J42" s="153"/>
      <c r="K42" s="208" t="s">
        <v>257</v>
      </c>
      <c r="L42" s="209">
        <v>3029808</v>
      </c>
      <c r="M42" s="153"/>
      <c r="N42" s="153"/>
      <c r="O42" s="153"/>
      <c r="P42" s="153"/>
    </row>
    <row r="43" spans="1:16" s="194" customFormat="1" ht="13.5" thickTop="1" x14ac:dyDescent="0.3">
      <c r="A43" s="235"/>
      <c r="B43" s="236"/>
      <c r="C43" s="237"/>
      <c r="D43" s="238"/>
      <c r="E43" s="241"/>
      <c r="F43" s="242"/>
      <c r="G43" s="243"/>
      <c r="H43" s="153"/>
      <c r="I43" s="153" t="b">
        <f>C44=L41</f>
        <v>1</v>
      </c>
      <c r="J43" s="153"/>
      <c r="K43" s="208" t="s">
        <v>258</v>
      </c>
      <c r="L43" s="209">
        <v>3162245</v>
      </c>
      <c r="M43" s="153"/>
      <c r="N43" s="153"/>
      <c r="O43" s="153"/>
      <c r="P43" s="153"/>
    </row>
    <row r="44" spans="1:16" s="194" customFormat="1" ht="13" x14ac:dyDescent="0.3">
      <c r="A44" s="235"/>
      <c r="B44" s="236" t="s">
        <v>244</v>
      </c>
      <c r="C44" s="244">
        <f>L41</f>
        <v>132437</v>
      </c>
      <c r="D44" s="238"/>
      <c r="E44" s="241"/>
      <c r="F44" s="242"/>
      <c r="G44" s="243"/>
      <c r="H44" s="153"/>
      <c r="I44" s="153" t="b">
        <f>C45=L43</f>
        <v>1</v>
      </c>
      <c r="J44" s="153"/>
      <c r="K44" s="153"/>
      <c r="L44" s="153"/>
      <c r="M44" s="153"/>
      <c r="N44" s="153"/>
      <c r="O44" s="153"/>
      <c r="P44" s="153"/>
    </row>
    <row r="45" spans="1:16" s="194" customFormat="1" x14ac:dyDescent="0.25">
      <c r="B45" s="194" t="s">
        <v>245</v>
      </c>
      <c r="C45" s="245">
        <f>C44+C42</f>
        <v>3162245</v>
      </c>
      <c r="D45" s="246"/>
      <c r="G45" s="241"/>
      <c r="H45" s="153"/>
      <c r="I45" s="153"/>
      <c r="J45" s="153"/>
      <c r="K45" s="153"/>
      <c r="L45" s="153"/>
      <c r="M45" s="153"/>
      <c r="N45" s="153"/>
      <c r="O45" s="153"/>
      <c r="P45" s="153"/>
    </row>
    <row r="46" spans="1:16" s="194" customFormat="1" x14ac:dyDescent="0.25">
      <c r="C46" s="245"/>
      <c r="D46" s="246"/>
      <c r="G46" s="241"/>
      <c r="H46" s="153"/>
      <c r="I46" s="153"/>
      <c r="J46" s="153"/>
      <c r="K46" s="153"/>
      <c r="L46" s="153"/>
      <c r="M46" s="153"/>
      <c r="N46" s="153"/>
      <c r="O46" s="153"/>
      <c r="P46" s="153"/>
    </row>
    <row r="47" spans="1:16" s="194" customFormat="1" x14ac:dyDescent="0.25">
      <c r="A47" s="247" t="s">
        <v>262</v>
      </c>
      <c r="B47" s="248"/>
      <c r="D47" s="231"/>
      <c r="G47" s="249"/>
      <c r="H47" s="153"/>
      <c r="I47" s="153"/>
      <c r="J47" s="153"/>
      <c r="K47" s="153"/>
      <c r="L47" s="153"/>
      <c r="M47" s="153"/>
      <c r="N47" s="153"/>
      <c r="O47" s="153"/>
      <c r="P47" s="153"/>
    </row>
    <row r="49" spans="1:17" x14ac:dyDescent="0.25">
      <c r="A49" s="194" t="s">
        <v>276</v>
      </c>
      <c r="B49" s="230"/>
      <c r="C49" s="245"/>
      <c r="D49" s="194"/>
      <c r="E49" s="250"/>
      <c r="F49" s="251"/>
      <c r="G49" s="252">
        <f>0.3333333*G51</f>
        <v>38307.9961692</v>
      </c>
    </row>
    <row r="50" spans="1:17" x14ac:dyDescent="0.25">
      <c r="A50" s="194" t="s">
        <v>277</v>
      </c>
      <c r="B50" s="253"/>
      <c r="C50" s="245"/>
      <c r="D50" s="194"/>
      <c r="E50" s="254"/>
      <c r="G50" s="255">
        <f>G51-G49</f>
        <v>76616.003830800008</v>
      </c>
    </row>
    <row r="51" spans="1:17" ht="13" thickBot="1" x14ac:dyDescent="0.3">
      <c r="A51" s="194" t="s">
        <v>278</v>
      </c>
      <c r="D51" s="194"/>
      <c r="E51" s="251"/>
      <c r="G51" s="256">
        <f>F54</f>
        <v>114924</v>
      </c>
      <c r="H51" s="195" t="s">
        <v>279</v>
      </c>
    </row>
    <row r="52" spans="1:17" ht="13" thickTop="1" x14ac:dyDescent="0.25">
      <c r="D52" s="257"/>
      <c r="E52" s="241"/>
    </row>
    <row r="53" spans="1:17" ht="13" x14ac:dyDescent="0.3">
      <c r="D53" s="258" t="s">
        <v>280</v>
      </c>
      <c r="E53" s="258" t="s">
        <v>281</v>
      </c>
      <c r="F53" s="258" t="s">
        <v>282</v>
      </c>
      <c r="I53" s="153" t="b">
        <f>G51=G42</f>
        <v>1</v>
      </c>
    </row>
    <row r="54" spans="1:17" s="241" customFormat="1" ht="13" x14ac:dyDescent="0.3">
      <c r="A54" s="194" t="s">
        <v>283</v>
      </c>
      <c r="C54" s="194"/>
      <c r="D54" s="259">
        <v>106200.64</v>
      </c>
      <c r="E54" s="259">
        <v>110378.62</v>
      </c>
      <c r="F54" s="259">
        <v>114924</v>
      </c>
      <c r="H54" s="193" t="s">
        <v>284</v>
      </c>
      <c r="I54" s="193"/>
      <c r="J54" s="153"/>
      <c r="K54" s="153"/>
      <c r="L54" s="153"/>
      <c r="M54" s="153"/>
      <c r="N54" s="193"/>
      <c r="O54" s="193"/>
      <c r="P54" s="193"/>
      <c r="Q54" s="193"/>
    </row>
    <row r="55" spans="1:17" s="241" customFormat="1" ht="13" x14ac:dyDescent="0.3">
      <c r="A55" s="194"/>
      <c r="B55" s="194"/>
      <c r="C55" s="194"/>
      <c r="D55" s="259"/>
      <c r="E55" s="259"/>
      <c r="F55" s="259"/>
      <c r="H55" s="193"/>
      <c r="I55" s="193"/>
      <c r="J55" s="153"/>
      <c r="K55" s="153"/>
      <c r="L55" s="153"/>
      <c r="M55" s="153"/>
      <c r="N55" s="193"/>
      <c r="O55" s="193"/>
      <c r="P55" s="193"/>
      <c r="Q55" s="193"/>
    </row>
    <row r="56" spans="1:17" s="241" customFormat="1" x14ac:dyDescent="0.25">
      <c r="A56" s="260"/>
      <c r="B56" s="261">
        <v>44683</v>
      </c>
      <c r="C56" s="194"/>
      <c r="D56" s="251"/>
      <c r="E56" s="194"/>
      <c r="F56" s="194"/>
      <c r="H56" s="193"/>
      <c r="I56" s="193"/>
      <c r="J56" s="153"/>
      <c r="K56" s="153"/>
      <c r="L56" s="153"/>
      <c r="M56" s="153"/>
      <c r="N56" s="193"/>
      <c r="O56" s="193"/>
      <c r="P56" s="193"/>
      <c r="Q56" s="193"/>
    </row>
    <row r="57" spans="1:17" s="193" customFormat="1" x14ac:dyDescent="0.25">
      <c r="A57" s="153"/>
      <c r="B57" s="153"/>
      <c r="C57" s="153"/>
      <c r="D57" s="192"/>
      <c r="E57" s="262">
        <f>E54-D54</f>
        <v>4177.9799999999959</v>
      </c>
      <c r="F57" s="262">
        <f>F54-E54</f>
        <v>4545.3800000000047</v>
      </c>
      <c r="J57" s="153"/>
      <c r="K57" s="153"/>
      <c r="L57" s="153"/>
      <c r="M57" s="153"/>
    </row>
    <row r="58" spans="1:17" s="193" customFormat="1" x14ac:dyDescent="0.25">
      <c r="A58" s="153"/>
      <c r="B58" s="153"/>
      <c r="C58" s="153"/>
      <c r="D58" s="192"/>
      <c r="E58" s="263">
        <f>E57/D54</f>
        <v>3.9340440886231912E-2</v>
      </c>
      <c r="F58" s="263">
        <f>F57/E54</f>
        <v>4.1179895164480264E-2</v>
      </c>
      <c r="H58" s="195" t="s">
        <v>285</v>
      </c>
      <c r="J58" s="153"/>
      <c r="K58" s="153"/>
      <c r="L58" s="153"/>
      <c r="M58" s="153"/>
    </row>
    <row r="59" spans="1:17" s="153" customFormat="1" x14ac:dyDescent="0.25">
      <c r="D59" s="192"/>
      <c r="G59" s="193"/>
      <c r="J59" s="193"/>
      <c r="K59" s="193"/>
      <c r="L59" s="193"/>
      <c r="M59" s="193"/>
    </row>
    <row r="60" spans="1:17" s="193" customFormat="1" x14ac:dyDescent="0.25">
      <c r="A60" s="153"/>
      <c r="B60" s="153"/>
      <c r="C60" s="153"/>
      <c r="D60" s="192"/>
      <c r="E60" s="212">
        <f>SUM(E7:E40)</f>
        <v>76616.003830800022</v>
      </c>
      <c r="F60" s="212">
        <f>SUM(F7:F40)</f>
        <v>38307.996169200014</v>
      </c>
      <c r="G60" s="212">
        <f>SUM(E60:F60)</f>
        <v>114924.00000000003</v>
      </c>
    </row>
    <row r="61" spans="1:17" s="193" customFormat="1" x14ac:dyDescent="0.25">
      <c r="A61" s="153"/>
      <c r="B61" s="153"/>
      <c r="C61" s="153"/>
      <c r="D61" s="192"/>
      <c r="E61" s="193">
        <f>E60-G50</f>
        <v>0</v>
      </c>
      <c r="F61" s="193">
        <f>F60-G49</f>
        <v>0</v>
      </c>
      <c r="G61" s="193">
        <f>G60-G51</f>
        <v>0</v>
      </c>
    </row>
    <row r="62" spans="1:17" s="153" customFormat="1" x14ac:dyDescent="0.25">
      <c r="D62" s="192"/>
      <c r="G62" s="193"/>
      <c r="J62" s="193"/>
      <c r="K62" s="193"/>
      <c r="L62" s="193"/>
      <c r="M62" s="193"/>
    </row>
    <row r="63" spans="1:17" s="153" customFormat="1" x14ac:dyDescent="0.25">
      <c r="D63" s="192"/>
      <c r="G63" s="193"/>
      <c r="J63" s="193"/>
      <c r="K63" s="193"/>
      <c r="L63" s="193"/>
      <c r="M63" s="193"/>
    </row>
    <row r="64" spans="1:17" s="153" customFormat="1" x14ac:dyDescent="0.25">
      <c r="D64" s="192"/>
      <c r="G64" s="193"/>
    </row>
    <row r="65" spans="4:13" s="153" customFormat="1" x14ac:dyDescent="0.25">
      <c r="D65" s="192"/>
      <c r="G65" s="193"/>
      <c r="J65" s="193"/>
      <c r="K65" s="193"/>
      <c r="L65" s="193"/>
      <c r="M65" s="193"/>
    </row>
    <row r="66" spans="4:13" s="153" customFormat="1" x14ac:dyDescent="0.25">
      <c r="D66" s="192"/>
      <c r="G66" s="193"/>
      <c r="J66" s="193"/>
      <c r="K66" s="193"/>
      <c r="L66" s="193"/>
      <c r="M66" s="193"/>
    </row>
    <row r="67" spans="4:13" s="153" customFormat="1" x14ac:dyDescent="0.25">
      <c r="D67" s="192"/>
      <c r="G67" s="193"/>
    </row>
    <row r="68" spans="4:13" s="153" customFormat="1" x14ac:dyDescent="0.25">
      <c r="D68" s="192"/>
      <c r="G68" s="193"/>
    </row>
    <row r="69" spans="4:13" s="153" customFormat="1" x14ac:dyDescent="0.25">
      <c r="D69" s="192"/>
      <c r="G69" s="193"/>
    </row>
  </sheetData>
  <mergeCells count="2">
    <mergeCell ref="B3:G3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DRAFT 2022-2023 Budget  </vt:lpstr>
      <vt:lpstr>Contract Staff Worksheet</vt:lpstr>
      <vt:lpstr>General Assembly Worksheet</vt:lpstr>
      <vt:lpstr>OCDAP Worksheet</vt:lpstr>
      <vt:lpstr>Sheet1</vt:lpstr>
      <vt:lpstr>FY 2021-22 GA Budget Draft</vt:lpstr>
      <vt:lpstr>OCCOG Dues FY 2022-23</vt:lpstr>
      <vt:lpstr>OCCOG Dues FY 2022-23 increase </vt:lpstr>
      <vt:lpstr>CDR Dues FY 2022-23</vt:lpstr>
      <vt:lpstr>'DRAFT 2022-2023 Budget 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Irwin</dc:creator>
  <cp:lastModifiedBy>katmo</cp:lastModifiedBy>
  <cp:lastPrinted>2020-06-22T22:06:58Z</cp:lastPrinted>
  <dcterms:created xsi:type="dcterms:W3CDTF">2015-03-01T22:00:13Z</dcterms:created>
  <dcterms:modified xsi:type="dcterms:W3CDTF">2022-08-31T23:56:37Z</dcterms:modified>
</cp:coreProperties>
</file>