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f04b0239c721eb2e/Documents/OCCOG/Budgets/"/>
    </mc:Choice>
  </mc:AlternateContent>
  <xr:revisionPtr revIDLastSave="0" documentId="8_{6C7B5ABE-EA31-4AC9-9DE3-0C723E2DF0C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-2021 Draft Budget " sheetId="8" r:id="rId1"/>
    <sheet name="OCCOG dues 2020.06.22 0% flat" sheetId="7" r:id="rId2"/>
    <sheet name="CDR Fees 2020.05.04" sheetId="4" r:id="rId3"/>
    <sheet name="2020-21 GA Budget Detail" sheetId="3" r:id="rId4"/>
    <sheet name="OCDAP Cycle 1 Payment Log" sheetId="5" r:id="rId5"/>
    <sheet name="Sheet1" sheetId="6" r:id="rId6"/>
  </sheets>
  <definedNames>
    <definedName name="_xlnm._FilterDatabase" localSheetId="1" hidden="1">'OCCOG dues 2020.06.22 0% flat'!$A$3:$L$46</definedName>
    <definedName name="_xlnm.Print_Area" localSheetId="2">'CDR Fees 2020.05.04'!$A$3:$G$56</definedName>
    <definedName name="_xlnm.Print_Area" localSheetId="1">'OCCOG dues 2020.06.22 0% flat'!$A$3:$H$61</definedName>
    <definedName name="_xlnm.Print_Area" localSheetId="4">'OCDAP Cycle 1 Payment Log'!$A$1:$G$31</definedName>
    <definedName name="_xlnm.Print_Titles" localSheetId="0">'2020-2021 Draft Budget '!$A:$F,'2020-2021 Draft Budget '!$2:$3</definedName>
    <definedName name="QB_COLUMN_59200" localSheetId="0" hidden="1">'2020-2021 Draft Budget '!$I$3</definedName>
    <definedName name="QB_COLUMN_63620" localSheetId="0" hidden="1">'2020-2021 Draft Budget '!$M$3</definedName>
    <definedName name="QB_COLUMN_64430" localSheetId="0" hidden="1">'2020-2021 Draft Budget '!$O$3</definedName>
    <definedName name="QB_COLUMN_76210" localSheetId="0" hidden="1">'2020-2021 Draft Budget '!$K$3</definedName>
    <definedName name="QB_DATA_0" localSheetId="0" hidden="1">'2020-2021 Draft Budget '!$12:$12,'2020-2021 Draft Budget '!$13:$13,'2020-2021 Draft Budget '!$24:$24,'2020-2021 Draft Budget '!#REF!,'2020-2021 Draft Budget '!$31:$31,'2020-2021 Draft Budget '!$36:$36,'2020-2021 Draft Budget '!$37:$37,'2020-2021 Draft Budget '!$38:$38,'2020-2021 Draft Budget '!$42:$42,'2020-2021 Draft Budget '!$46:$46,'2020-2021 Draft Budget '!$49:$49,'2020-2021 Draft Budget '!$50:$50,'2020-2021 Draft Budget '!$52:$52,'2020-2021 Draft Budget '!$54:$54,'2020-2021 Draft Budget '!$55:$55,'2020-2021 Draft Budget '!$56:$56</definedName>
    <definedName name="QB_DATA_1" localSheetId="0" hidden="1">'2020-2021 Draft Budget '!$59:$59,'2020-2021 Draft Budget '!$62:$62,'2020-2021 Draft Budget '!$63:$63,'2020-2021 Draft Budget '!$64:$64</definedName>
    <definedName name="QB_FORMULA_0" localSheetId="0" hidden="1">'2020-2021 Draft Budget '!$M$12,'2020-2021 Draft Budget '!$O$12,'2020-2021 Draft Budget '!$M$13,'2020-2021 Draft Budget '!$O$13,'2020-2021 Draft Budget '!$I$16,'2020-2021 Draft Budget '!$K$16,'2020-2021 Draft Budget '!$M$16,'2020-2021 Draft Budget '!$O$16,'2020-2021 Draft Budget '!$I$20,'2020-2021 Draft Budget '!$K$20,'2020-2021 Draft Budget '!$M$20,'2020-2021 Draft Budget '!$O$20,'2020-2021 Draft Budget '!$M$24,'2020-2021 Draft Budget '!$O$24,'2020-2021 Draft Budget '!$I$28,'2020-2021 Draft Budget '!$K$28</definedName>
    <definedName name="QB_FORMULA_1" localSheetId="0" hidden="1">'2020-2021 Draft Budget '!$M$28,'2020-2021 Draft Budget '!$O$28,'2020-2021 Draft Budget '!$M$31,'2020-2021 Draft Budget '!$O$31,'2020-2021 Draft Budget '!$I$32,'2020-2021 Draft Budget '!$K$32,'2020-2021 Draft Budget '!$M$32,'2020-2021 Draft Budget '!$O$32,'2020-2021 Draft Budget '!$M$36,'2020-2021 Draft Budget '!$O$36,'2020-2021 Draft Budget '!$M$37,'2020-2021 Draft Budget '!$O$37,'2020-2021 Draft Budget '!$M$38,'2020-2021 Draft Budget '!$O$38,'2020-2021 Draft Budget '!$M$42,'2020-2021 Draft Budget '!$O$42</definedName>
    <definedName name="QB_FORMULA_2" localSheetId="0" hidden="1">'2020-2021 Draft Budget '!#REF!,'2020-2021 Draft Budget '!$K$43,'2020-2021 Draft Budget '!$M$43,'2020-2021 Draft Budget '!$O$43,'2020-2021 Draft Budget '!$M$46,'2020-2021 Draft Budget '!$O$46,'2020-2021 Draft Budget '!$I$50,'2020-2021 Draft Budget '!$K$47,'2020-2021 Draft Budget '!$M$47,'2020-2021 Draft Budget '!$O$47,'2020-2021 Draft Budget '!$M$54,'2020-2021 Draft Budget '!$O$54,'2020-2021 Draft Budget '!$M$55,'2020-2021 Draft Budget '!$O$55,'2020-2021 Draft Budget '!$M$56,'2020-2021 Draft Budget '!$O$56</definedName>
    <definedName name="QB_FORMULA_3" localSheetId="0" hidden="1">'2020-2021 Draft Budget '!$I$60,'2020-2021 Draft Budget '!$K$57,'2020-2021 Draft Budget '!$M$57,'2020-2021 Draft Budget '!$O$57,'2020-2021 Draft Budget '!$M$59,'2020-2021 Draft Budget '!$O$59,'2020-2021 Draft Budget '!#REF!,'2020-2021 Draft Budget '!$K$60,'2020-2021 Draft Budget '!$M$60,'2020-2021 Draft Budget '!$O$60,'2020-2021 Draft Budget '!$M$64,'2020-2021 Draft Budget '!$O$64,'2020-2021 Draft Budget '!#REF!,'2020-2021 Draft Budget '!$K$65,'2020-2021 Draft Budget '!$M$65,'2020-2021 Draft Budget '!$O$65</definedName>
    <definedName name="QB_FORMULA_4" localSheetId="0" hidden="1">'2020-2021 Draft Budget '!#REF!,'2020-2021 Draft Budget '!$K$66,'2020-2021 Draft Budget '!$M$66,'2020-2021 Draft Budget '!$O$66,'2020-2021 Draft Budget '!#REF!,'2020-2021 Draft Budget '!$K$68,'2020-2021 Draft Budget '!#REF!,'2020-2021 Draft Budget '!$O$68,'2020-2021 Draft Budget '!$I$71,'2020-2021 Draft Budget '!$K$71,'2020-2021 Draft Budget '!$M$71,'2020-2021 Draft Budget '!$O$71</definedName>
    <definedName name="QB_ROW_18301" localSheetId="0" hidden="1">'2020-2021 Draft Budget '!$A$71</definedName>
    <definedName name="QB_ROW_19011" localSheetId="0" hidden="1">'2020-2021 Draft Budget '!$B$4</definedName>
    <definedName name="QB_ROW_19030" localSheetId="0" hidden="1">'2020-2021 Draft Budget '!$D$10</definedName>
    <definedName name="QB_ROW_19311" localSheetId="0" hidden="1">'2020-2021 Draft Budget '!$B$68</definedName>
    <definedName name="QB_ROW_19330" localSheetId="0" hidden="1">'2020-2021 Draft Budget '!$D$16</definedName>
    <definedName name="QB_ROW_20021" localSheetId="0" hidden="1">'2020-2021 Draft Budget '!$C$5</definedName>
    <definedName name="QB_ROW_20240" localSheetId="0" hidden="1">'2020-2021 Draft Budget '!$E$12</definedName>
    <definedName name="QB_ROW_20321" localSheetId="0" hidden="1">'2020-2021 Draft Budget '!$C$20</definedName>
    <definedName name="QB_ROW_21021" localSheetId="0" hidden="1">'2020-2021 Draft Budget '!$C$21</definedName>
    <definedName name="QB_ROW_21240" localSheetId="0" hidden="1">'2020-2021 Draft Budget '!$E$13</definedName>
    <definedName name="QB_ROW_21321" localSheetId="0" hidden="1">'2020-2021 Draft Budget '!$C$66</definedName>
    <definedName name="QB_ROW_24030" localSheetId="0" hidden="1">'2020-2021 Draft Budget '!$D$29</definedName>
    <definedName name="QB_ROW_24330" localSheetId="0" hidden="1">'2020-2021 Draft Budget '!$D$43</definedName>
    <definedName name="QB_ROW_25240" localSheetId="0" hidden="1">'2020-2021 Draft Budget '!$E$37</definedName>
    <definedName name="QB_ROW_26240" localSheetId="0" hidden="1">'2020-2021 Draft Budget '!$E$36</definedName>
    <definedName name="QB_ROW_28030" localSheetId="0" hidden="1">'2020-2021 Draft Budget '!$D$44</definedName>
    <definedName name="QB_ROW_28330" localSheetId="0" hidden="1">'2020-2021 Draft Budget '!$D$47</definedName>
    <definedName name="QB_ROW_33240" localSheetId="0" hidden="1">'2020-2021 Draft Budget '!$E$46</definedName>
    <definedName name="QB_ROW_34030" localSheetId="0" hidden="1">'2020-2021 Draft Budget '!$D$48</definedName>
    <definedName name="QB_ROW_34330" localSheetId="0" hidden="1">'2020-2021 Draft Budget '!$D$57</definedName>
    <definedName name="QB_ROW_35240" localSheetId="0" hidden="1">'2020-2021 Draft Budget '!$E$49</definedName>
    <definedName name="QB_ROW_36240" localSheetId="0" hidden="1">'2020-2021 Draft Budget '!$E$50</definedName>
    <definedName name="QB_ROW_38240" localSheetId="0" hidden="1">'2020-2021 Draft Budget '!$E$52</definedName>
    <definedName name="QB_ROW_40030" localSheetId="0" hidden="1">'2020-2021 Draft Budget '!$D$58</definedName>
    <definedName name="QB_ROW_40330" localSheetId="0" hidden="1">'2020-2021 Draft Budget '!$D$60</definedName>
    <definedName name="QB_ROW_41240" localSheetId="0" hidden="1">'2020-2021 Draft Budget '!$E$59</definedName>
    <definedName name="QB_ROW_43030" localSheetId="0" hidden="1">'2020-2021 Draft Budget '!$D$61</definedName>
    <definedName name="QB_ROW_43240" localSheetId="0" hidden="1">'2020-2021 Draft Budget '!$E$64</definedName>
    <definedName name="QB_ROW_43330" localSheetId="0" hidden="1">'2020-2021 Draft Budget '!$D$65</definedName>
    <definedName name="QB_ROW_44240" localSheetId="0" hidden="1">'2020-2021 Draft Budget '!$E$62</definedName>
    <definedName name="QB_ROW_45340" localSheetId="0" hidden="1">'2020-2021 Draft Budget '!$E$63</definedName>
    <definedName name="QB_ROW_55040" localSheetId="0" hidden="1">'2020-2021 Draft Budget '!$E$30</definedName>
    <definedName name="QB_ROW_55250" localSheetId="0" hidden="1">'2020-2021 Draft Budget '!$F$31</definedName>
    <definedName name="QB_ROW_55340" localSheetId="0" hidden="1">'2020-2021 Draft Budget '!$E$32</definedName>
    <definedName name="QB_ROW_56240" localSheetId="0" hidden="1">'2020-2021 Draft Budget '!$E$38</definedName>
    <definedName name="QB_ROW_57240" localSheetId="0" hidden="1">'2020-2021 Draft Budget '!$E$42</definedName>
    <definedName name="QB_ROW_58240" localSheetId="0" hidden="1">'2020-2021 Draft Budget '!$E$54</definedName>
    <definedName name="QB_ROW_59240" localSheetId="0" hidden="1">'2020-2021 Draft Budget '!$E$55</definedName>
    <definedName name="QB_ROW_60240" localSheetId="0" hidden="1">'2020-2021 Draft Budget '!$E$56</definedName>
    <definedName name="QB_ROW_61030" localSheetId="0" hidden="1">'2020-2021 Draft Budget '!$D$22</definedName>
    <definedName name="QB_ROW_61330" localSheetId="0" hidden="1">'2020-2021 Draft Budget '!$D$28</definedName>
    <definedName name="QB_ROW_62240" localSheetId="0" hidden="1">'2020-2021 Draft Budget '!$E$24</definedName>
    <definedName name="QB_ROW_66250" localSheetId="0" hidden="1">'2020-2021 Draft Budget '!#REF!</definedName>
    <definedName name="QBCANSUPPORTUPDATE" localSheetId="0">TRUE</definedName>
    <definedName name="QBCOMPANYFILENAME" localSheetId="0">"C:\Users\Public\Documents\Intuit\QuickBooks\Company Files\OCCOG.QBW"</definedName>
    <definedName name="QBENDDATE" localSheetId="0">20150630</definedName>
    <definedName name="QBHEADERSONSCREEN" localSheetId="0">FALSE</definedName>
    <definedName name="QBMETADATASIZE" localSheetId="0">5802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"8357e2811db649c5b87554c22e35a9be"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20140701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8" l="1"/>
  <c r="G16" i="8"/>
  <c r="G20" i="8"/>
  <c r="G65" i="8"/>
  <c r="G60" i="8"/>
  <c r="G57" i="8"/>
  <c r="G47" i="8"/>
  <c r="G32" i="8"/>
  <c r="G43" i="8"/>
  <c r="G25" i="8"/>
  <c r="G28" i="8"/>
  <c r="G66" i="8"/>
  <c r="G68" i="8"/>
  <c r="G71" i="8"/>
  <c r="I8" i="8"/>
  <c r="I16" i="8"/>
  <c r="I20" i="8"/>
  <c r="I28" i="8"/>
  <c r="I32" i="8"/>
  <c r="I43" i="8"/>
  <c r="I47" i="8"/>
  <c r="I57" i="8"/>
  <c r="I60" i="8"/>
  <c r="I65" i="8"/>
  <c r="I66" i="8"/>
  <c r="I68" i="8"/>
  <c r="I71" i="8"/>
  <c r="Q67" i="8"/>
  <c r="Q8" i="8"/>
  <c r="Q16" i="8"/>
  <c r="Q20" i="8"/>
  <c r="Q65" i="8"/>
  <c r="Q60" i="8"/>
  <c r="Q57" i="8"/>
  <c r="Q47" i="8"/>
  <c r="Q32" i="8"/>
  <c r="Q33" i="8"/>
  <c r="Q41" i="8"/>
  <c r="Q43" i="8"/>
  <c r="Q23" i="8"/>
  <c r="Q28" i="8"/>
  <c r="Q66" i="8"/>
  <c r="Q68" i="8"/>
  <c r="Q71" i="8"/>
  <c r="Q70" i="8"/>
  <c r="Q72" i="8"/>
  <c r="O50" i="8"/>
  <c r="O37" i="8"/>
  <c r="O36" i="8"/>
  <c r="O34" i="8"/>
  <c r="O33" i="8"/>
  <c r="O24" i="8"/>
  <c r="O35" i="8"/>
  <c r="O7" i="8"/>
  <c r="M40" i="8"/>
  <c r="M54" i="8"/>
  <c r="K8" i="8"/>
  <c r="K16" i="8"/>
  <c r="K28" i="8"/>
  <c r="K32" i="8"/>
  <c r="K47" i="8"/>
  <c r="K57" i="8"/>
  <c r="K60" i="8"/>
  <c r="M60" i="8"/>
  <c r="K65" i="8"/>
  <c r="M65" i="8"/>
  <c r="O65" i="8"/>
  <c r="O64" i="8"/>
  <c r="O63" i="8"/>
  <c r="O62" i="8"/>
  <c r="O59" i="8"/>
  <c r="M59" i="8"/>
  <c r="O56" i="8"/>
  <c r="M56" i="8"/>
  <c r="O55" i="8"/>
  <c r="M55" i="8"/>
  <c r="O54" i="8"/>
  <c r="O53" i="8"/>
  <c r="O52" i="8"/>
  <c r="O51" i="8"/>
  <c r="O49" i="8"/>
  <c r="O46" i="8"/>
  <c r="M46" i="8"/>
  <c r="O45" i="8"/>
  <c r="O44" i="8"/>
  <c r="O42" i="8"/>
  <c r="M42" i="8"/>
  <c r="O41" i="8"/>
  <c r="M41" i="8"/>
  <c r="O40" i="8"/>
  <c r="O39" i="8"/>
  <c r="O38" i="8"/>
  <c r="M38" i="8"/>
  <c r="M37" i="8"/>
  <c r="M36" i="8"/>
  <c r="O31" i="8"/>
  <c r="M31" i="8"/>
  <c r="O25" i="8"/>
  <c r="M24" i="8"/>
  <c r="O18" i="8"/>
  <c r="O15" i="8"/>
  <c r="O14" i="8"/>
  <c r="O13" i="8"/>
  <c r="M13" i="8"/>
  <c r="O12" i="8"/>
  <c r="M12" i="8"/>
  <c r="C48" i="7"/>
  <c r="J55" i="7"/>
  <c r="K53" i="7"/>
  <c r="H58" i="7"/>
  <c r="G42" i="7"/>
  <c r="G43" i="7"/>
  <c r="G44" i="7"/>
  <c r="G45" i="7"/>
  <c r="G46" i="7"/>
  <c r="G48" i="7"/>
  <c r="H57" i="7"/>
  <c r="I7" i="7"/>
  <c r="L7" i="7"/>
  <c r="I8" i="7"/>
  <c r="L8" i="7"/>
  <c r="I9" i="7"/>
  <c r="L9" i="7"/>
  <c r="I10" i="7"/>
  <c r="L10" i="7"/>
  <c r="I11" i="7"/>
  <c r="L11" i="7"/>
  <c r="I12" i="7"/>
  <c r="L12" i="7"/>
  <c r="I13" i="7"/>
  <c r="L13" i="7"/>
  <c r="I14" i="7"/>
  <c r="L14" i="7"/>
  <c r="I15" i="7"/>
  <c r="L15" i="7"/>
  <c r="I16" i="7"/>
  <c r="L16" i="7"/>
  <c r="I17" i="7"/>
  <c r="L17" i="7"/>
  <c r="I18" i="7"/>
  <c r="L18" i="7"/>
  <c r="I19" i="7"/>
  <c r="L19" i="7"/>
  <c r="I20" i="7"/>
  <c r="L20" i="7"/>
  <c r="I21" i="7"/>
  <c r="L21" i="7"/>
  <c r="I22" i="7"/>
  <c r="L22" i="7"/>
  <c r="I23" i="7"/>
  <c r="L23" i="7"/>
  <c r="I24" i="7"/>
  <c r="L24" i="7"/>
  <c r="I25" i="7"/>
  <c r="L25" i="7"/>
  <c r="I26" i="7"/>
  <c r="L26" i="7"/>
  <c r="I27" i="7"/>
  <c r="L27" i="7"/>
  <c r="I28" i="7"/>
  <c r="L28" i="7"/>
  <c r="I29" i="7"/>
  <c r="L29" i="7"/>
  <c r="I30" i="7"/>
  <c r="L30" i="7"/>
  <c r="I31" i="7"/>
  <c r="L31" i="7"/>
  <c r="I32" i="7"/>
  <c r="L32" i="7"/>
  <c r="I33" i="7"/>
  <c r="L33" i="7"/>
  <c r="I34" i="7"/>
  <c r="L34" i="7"/>
  <c r="I35" i="7"/>
  <c r="L35" i="7"/>
  <c r="D36" i="7"/>
  <c r="I36" i="7"/>
  <c r="L36" i="7"/>
  <c r="D37" i="7"/>
  <c r="I37" i="7"/>
  <c r="L37" i="7"/>
  <c r="D38" i="7"/>
  <c r="I38" i="7"/>
  <c r="L38" i="7"/>
  <c r="D39" i="7"/>
  <c r="I39" i="7"/>
  <c r="L39" i="7"/>
  <c r="D40" i="7"/>
  <c r="I40" i="7"/>
  <c r="L40" i="7"/>
  <c r="H41" i="7"/>
  <c r="H42" i="7"/>
  <c r="L42" i="7"/>
  <c r="H43" i="7"/>
  <c r="L43" i="7"/>
  <c r="H44" i="7"/>
  <c r="H45" i="7"/>
  <c r="C51" i="7"/>
  <c r="L45" i="7"/>
  <c r="H46" i="7"/>
  <c r="N47" i="7"/>
  <c r="A31" i="5"/>
  <c r="B26" i="5"/>
  <c r="D19" i="5"/>
  <c r="B19" i="5"/>
  <c r="B22" i="5"/>
  <c r="B28" i="5"/>
  <c r="C42" i="4"/>
  <c r="D9" i="4"/>
  <c r="D10" i="4"/>
  <c r="D13" i="4"/>
  <c r="D14" i="4"/>
  <c r="D17" i="4"/>
  <c r="D18" i="4"/>
  <c r="D21" i="4"/>
  <c r="D22" i="4"/>
  <c r="D25" i="4"/>
  <c r="D26" i="4"/>
  <c r="D29" i="4"/>
  <c r="D30" i="4"/>
  <c r="D33" i="4"/>
  <c r="D34" i="4"/>
  <c r="D37" i="4"/>
  <c r="D38" i="4"/>
  <c r="D8" i="4"/>
  <c r="C44" i="4"/>
  <c r="G51" i="4"/>
  <c r="G49" i="4"/>
  <c r="E57" i="4"/>
  <c r="E58" i="4"/>
  <c r="F57" i="4"/>
  <c r="F58" i="4"/>
  <c r="G50" i="4"/>
  <c r="D39" i="4"/>
  <c r="E39" i="4"/>
  <c r="F39" i="4"/>
  <c r="G39" i="4"/>
  <c r="F29" i="4"/>
  <c r="F10" i="4"/>
  <c r="F18" i="4"/>
  <c r="F26" i="4"/>
  <c r="F34" i="4"/>
  <c r="F19" i="4"/>
  <c r="F31" i="4"/>
  <c r="F13" i="4"/>
  <c r="F21" i="4"/>
  <c r="F33" i="4"/>
  <c r="F8" i="4"/>
  <c r="F20" i="4"/>
  <c r="F28" i="4"/>
  <c r="F36" i="4"/>
  <c r="F11" i="4"/>
  <c r="F40" i="4"/>
  <c r="F35" i="4"/>
  <c r="D35" i="4"/>
  <c r="D19" i="4"/>
  <c r="D15" i="4"/>
  <c r="D7" i="4"/>
  <c r="D31" i="4"/>
  <c r="D27" i="4"/>
  <c r="D23" i="4"/>
  <c r="E23" i="4"/>
  <c r="D11" i="4"/>
  <c r="C45" i="4"/>
  <c r="D40" i="4"/>
  <c r="D36" i="4"/>
  <c r="E36" i="4"/>
  <c r="G36" i="4"/>
  <c r="D32" i="4"/>
  <c r="D28" i="4"/>
  <c r="E28" i="4"/>
  <c r="G28" i="4"/>
  <c r="D24" i="4"/>
  <c r="D20" i="4"/>
  <c r="D16" i="4"/>
  <c r="D12" i="4"/>
  <c r="D42" i="4"/>
  <c r="E12" i="4"/>
  <c r="E37" i="4"/>
  <c r="E25" i="4"/>
  <c r="E11" i="4"/>
  <c r="G11" i="4"/>
  <c r="E8" i="4"/>
  <c r="G8" i="4"/>
  <c r="E9" i="4"/>
  <c r="E22" i="4"/>
  <c r="E14" i="4"/>
  <c r="E30" i="4"/>
  <c r="E38" i="4"/>
  <c r="E16" i="4"/>
  <c r="E20" i="4"/>
  <c r="G20" i="4"/>
  <c r="E24" i="4"/>
  <c r="E31" i="4"/>
  <c r="G31" i="4"/>
  <c r="G30" i="3"/>
  <c r="G7" i="3"/>
  <c r="G32" i="3"/>
  <c r="H12" i="3"/>
  <c r="H7" i="3"/>
  <c r="C29" i="3"/>
  <c r="C28" i="3"/>
  <c r="B28" i="3"/>
  <c r="D26" i="3"/>
  <c r="D25" i="3"/>
  <c r="E23" i="3"/>
  <c r="D23" i="3"/>
  <c r="C21" i="3"/>
  <c r="E20" i="3"/>
  <c r="E17" i="3"/>
  <c r="B17" i="3"/>
  <c r="B14" i="3"/>
  <c r="B30" i="3"/>
  <c r="B7" i="3"/>
  <c r="B32" i="3"/>
  <c r="F12" i="3"/>
  <c r="F13" i="3"/>
  <c r="F14" i="3"/>
  <c r="F30" i="3"/>
  <c r="D12" i="3"/>
  <c r="E11" i="3"/>
  <c r="C11" i="3"/>
  <c r="C12" i="3"/>
  <c r="C13" i="3"/>
  <c r="C14" i="3"/>
  <c r="C30" i="3"/>
  <c r="F7" i="3"/>
  <c r="E7" i="3"/>
  <c r="D7" i="3"/>
  <c r="C7" i="3"/>
  <c r="C32" i="3"/>
  <c r="O28" i="8"/>
  <c r="O16" i="8"/>
  <c r="O47" i="8"/>
  <c r="M32" i="8"/>
  <c r="M28" i="8"/>
  <c r="O57" i="8"/>
  <c r="K20" i="8"/>
  <c r="M16" i="8"/>
  <c r="M47" i="8"/>
  <c r="O60" i="8"/>
  <c r="M57" i="8"/>
  <c r="H55" i="7"/>
  <c r="E12" i="3"/>
  <c r="H13" i="3"/>
  <c r="H14" i="3"/>
  <c r="H30" i="3"/>
  <c r="F32" i="3"/>
  <c r="E13" i="3"/>
  <c r="E14" i="3"/>
  <c r="E30" i="3"/>
  <c r="E32" i="3"/>
  <c r="D13" i="3"/>
  <c r="D14" i="3"/>
  <c r="D30" i="3"/>
  <c r="D32" i="3"/>
  <c r="H32" i="3"/>
  <c r="E17" i="4"/>
  <c r="E35" i="4"/>
  <c r="G35" i="4"/>
  <c r="E21" i="4"/>
  <c r="G21" i="4"/>
  <c r="E34" i="4"/>
  <c r="G34" i="4"/>
  <c r="E26" i="4"/>
  <c r="G26" i="4"/>
  <c r="E10" i="4"/>
  <c r="G10" i="4"/>
  <c r="E18" i="4"/>
  <c r="G18" i="4"/>
  <c r="E27" i="4"/>
  <c r="E15" i="4"/>
  <c r="E40" i="4"/>
  <c r="G40" i="4"/>
  <c r="E19" i="4"/>
  <c r="G19" i="4"/>
  <c r="E32" i="4"/>
  <c r="F32" i="4"/>
  <c r="G32" i="4"/>
  <c r="E7" i="4"/>
  <c r="F14" i="4"/>
  <c r="G14" i="4"/>
  <c r="F22" i="4"/>
  <c r="G22" i="4"/>
  <c r="F30" i="4"/>
  <c r="G30" i="4"/>
  <c r="F38" i="4"/>
  <c r="G38" i="4"/>
  <c r="F27" i="4"/>
  <c r="F9" i="4"/>
  <c r="G9" i="4"/>
  <c r="F17" i="4"/>
  <c r="F25" i="4"/>
  <c r="G25" i="4"/>
  <c r="F37" i="4"/>
  <c r="G37" i="4"/>
  <c r="F12" i="4"/>
  <c r="G12" i="4"/>
  <c r="F24" i="4"/>
  <c r="G24" i="4"/>
  <c r="F7" i="4"/>
  <c r="F23" i="4"/>
  <c r="G23" i="4"/>
  <c r="F16" i="4"/>
  <c r="G16" i="4"/>
  <c r="F15" i="4"/>
  <c r="E33" i="4"/>
  <c r="G33" i="4"/>
  <c r="E29" i="4"/>
  <c r="G29" i="4"/>
  <c r="E13" i="4"/>
  <c r="G13" i="4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K43" i="8"/>
  <c r="O32" i="8"/>
  <c r="M71" i="8"/>
  <c r="O20" i="8"/>
  <c r="M20" i="8"/>
  <c r="H56" i="7"/>
  <c r="E33" i="7"/>
  <c r="E25" i="7"/>
  <c r="E17" i="7"/>
  <c r="E13" i="7"/>
  <c r="E9" i="7"/>
  <c r="D48" i="7"/>
  <c r="M64" i="8"/>
  <c r="F60" i="4"/>
  <c r="F61" i="4"/>
  <c r="F42" i="4"/>
  <c r="G27" i="4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E35" i="7"/>
  <c r="H35" i="7"/>
  <c r="E27" i="7"/>
  <c r="H27" i="7"/>
  <c r="E19" i="7"/>
  <c r="H19" i="7"/>
  <c r="O43" i="8"/>
  <c r="M43" i="8"/>
  <c r="K66" i="8"/>
  <c r="E34" i="7"/>
  <c r="H34" i="7"/>
  <c r="E30" i="7"/>
  <c r="H30" i="7"/>
  <c r="E26" i="7"/>
  <c r="H26" i="7"/>
  <c r="E22" i="7"/>
  <c r="H22" i="7"/>
  <c r="E18" i="7"/>
  <c r="H18" i="7"/>
  <c r="E14" i="7"/>
  <c r="H14" i="7"/>
  <c r="E10" i="7"/>
  <c r="H10" i="7"/>
  <c r="E60" i="4"/>
  <c r="E42" i="4"/>
  <c r="G7" i="4"/>
  <c r="G15" i="4"/>
  <c r="G17" i="4"/>
  <c r="Q73" i="8"/>
  <c r="G42" i="4"/>
  <c r="G60" i="4"/>
  <c r="G61" i="4"/>
  <c r="E61" i="4"/>
  <c r="F48" i="7"/>
  <c r="H9" i="7"/>
  <c r="H13" i="7"/>
  <c r="H17" i="7"/>
  <c r="H25" i="7"/>
  <c r="H33" i="7"/>
  <c r="E39" i="7"/>
  <c r="H39" i="7"/>
  <c r="E37" i="7"/>
  <c r="H37" i="7"/>
  <c r="E40" i="7"/>
  <c r="H40" i="7"/>
  <c r="E38" i="7"/>
  <c r="H38" i="7"/>
  <c r="E36" i="7"/>
  <c r="H36" i="7"/>
  <c r="E8" i="7"/>
  <c r="H8" i="7"/>
  <c r="E12" i="7"/>
  <c r="H12" i="7"/>
  <c r="E16" i="7"/>
  <c r="H16" i="7"/>
  <c r="E20" i="7"/>
  <c r="H20" i="7"/>
  <c r="E24" i="7"/>
  <c r="H24" i="7"/>
  <c r="E28" i="7"/>
  <c r="H28" i="7"/>
  <c r="E32" i="7"/>
  <c r="H32" i="7"/>
  <c r="M66" i="8"/>
  <c r="O66" i="8"/>
  <c r="K68" i="8"/>
  <c r="E23" i="7"/>
  <c r="H23" i="7"/>
  <c r="E31" i="7"/>
  <c r="H31" i="7"/>
  <c r="E7" i="7"/>
  <c r="E11" i="7"/>
  <c r="H11" i="7"/>
  <c r="E15" i="7"/>
  <c r="H15" i="7"/>
  <c r="E21" i="7"/>
  <c r="H21" i="7"/>
  <c r="E29" i="7"/>
  <c r="H29" i="7"/>
  <c r="O68" i="8"/>
  <c r="H7" i="7"/>
  <c r="H48" i="7"/>
  <c r="E48" i="7"/>
</calcChain>
</file>

<file path=xl/sharedStrings.xml><?xml version="1.0" encoding="utf-8"?>
<sst xmlns="http://schemas.openxmlformats.org/spreadsheetml/2006/main" count="387" uniqueCount="282">
  <si>
    <t>$ Over Budget</t>
  </si>
  <si>
    <t>47200 · Program Income</t>
  </si>
  <si>
    <t>47230 · Membership Dues</t>
  </si>
  <si>
    <t>47240 · CDR Fees</t>
  </si>
  <si>
    <t>Total 47200 · Program Income</t>
  </si>
  <si>
    <t>61000 · Program Expenditures</t>
  </si>
  <si>
    <t>61010 · CDR Fees</t>
  </si>
  <si>
    <t>Total 61000 · Program Expenditures</t>
  </si>
  <si>
    <t>62100 · Contract Services</t>
  </si>
  <si>
    <t>62130 · Legal Services</t>
  </si>
  <si>
    <t>62140 · Accounting/Bookkeeping Svcs</t>
  </si>
  <si>
    <t>62150 · Website Consultant</t>
  </si>
  <si>
    <t>62160 · Audit Services</t>
  </si>
  <si>
    <t>Total 62100 · Contract Services</t>
  </si>
  <si>
    <t>62800 · Facilities and Equipment</t>
  </si>
  <si>
    <t>62890 · Parking</t>
  </si>
  <si>
    <t>Total 62800 · Facilities and Equipment</t>
  </si>
  <si>
    <t>65000 · Operations</t>
  </si>
  <si>
    <t>65010 · Books, Subscriptions, Reference</t>
  </si>
  <si>
    <t>65020 · Postage, Mailing Service</t>
  </si>
  <si>
    <t>65040 · Supplies</t>
  </si>
  <si>
    <t>65060 · CALCOG Dues</t>
  </si>
  <si>
    <t>65070 · Banking Fees</t>
  </si>
  <si>
    <t>65090 · Miscellaneous</t>
  </si>
  <si>
    <t>Total 65000 · Operations</t>
  </si>
  <si>
    <t>65100 · Other Types of Expenses</t>
  </si>
  <si>
    <t>65120 · Insurance - Liability, D and O</t>
  </si>
  <si>
    <t>Total 65100 · Other Types of Expenses</t>
  </si>
  <si>
    <t>68300 · Travel and Meetings</t>
  </si>
  <si>
    <t>68310 · Conference, Convention, Meeting</t>
  </si>
  <si>
    <t>68320 · Travel</t>
  </si>
  <si>
    <t>68300 · Travel and Meetings - Other</t>
  </si>
  <si>
    <t>Total 68300 · Travel and Meetings</t>
  </si>
  <si>
    <t>b</t>
  </si>
  <si>
    <t>c</t>
  </si>
  <si>
    <t>d</t>
  </si>
  <si>
    <t>e</t>
  </si>
  <si>
    <t>f</t>
  </si>
  <si>
    <t>g</t>
  </si>
  <si>
    <t>Revenues</t>
  </si>
  <si>
    <t>Total Revenues</t>
  </si>
  <si>
    <t>Expenditures</t>
  </si>
  <si>
    <t>Total Expenditures</t>
  </si>
  <si>
    <t>Net Revenues over Expenditures</t>
  </si>
  <si>
    <t>Fund Balance, End of Year</t>
  </si>
  <si>
    <t>Fund Balance, Beginning of Year</t>
  </si>
  <si>
    <t>FOOTNOTES:</t>
  </si>
  <si>
    <t>48000 - Government Grants</t>
  </si>
  <si>
    <t>61100 - Consulting Services</t>
  </si>
  <si>
    <t>62110 · Executive Director Services</t>
  </si>
  <si>
    <t>62110 · Exec Dir Services - General</t>
  </si>
  <si>
    <t>Total 62110 · Executive Director Services</t>
  </si>
  <si>
    <t>62891 - Parking FTA Grant</t>
  </si>
  <si>
    <t>65050 - Telephone, Telecommunications</t>
  </si>
  <si>
    <t>62125 - Clerk of the Board Services</t>
  </si>
  <si>
    <t>62155 - Website Hosting</t>
  </si>
  <si>
    <t>47250 - General Assembly Revenue</t>
  </si>
  <si>
    <t>61050 - General Assembly Costs</t>
  </si>
  <si>
    <t>65030 - Printing and Copying</t>
  </si>
  <si>
    <t>45000 - Investments</t>
  </si>
  <si>
    <t xml:space="preserve">45030 - Interest </t>
  </si>
  <si>
    <t>Total 45000 · Investments</t>
  </si>
  <si>
    <t>61060 - Citizens Housing Academy</t>
  </si>
  <si>
    <t>62170 · Marketing/Comms Support</t>
  </si>
  <si>
    <t>47260 - Other Program revenue</t>
  </si>
  <si>
    <t>62121 - Administrative Support</t>
  </si>
  <si>
    <t>62122 - Planning Support</t>
  </si>
  <si>
    <t>Income</t>
  </si>
  <si>
    <t>2017 Actual</t>
  </si>
  <si>
    <t>2018 Actual</t>
  </si>
  <si>
    <t>2019 Budget</t>
  </si>
  <si>
    <t>Notes</t>
  </si>
  <si>
    <t>Sponsorship</t>
  </si>
  <si>
    <t>Registration</t>
  </si>
  <si>
    <t>In-kind</t>
  </si>
  <si>
    <t>in-kind show runner from AJ Design</t>
  </si>
  <si>
    <t>Total Income</t>
  </si>
  <si>
    <t>Expenses</t>
  </si>
  <si>
    <t>Food &amp; Beverage</t>
  </si>
  <si>
    <t>meals</t>
  </si>
  <si>
    <t>service charge</t>
  </si>
  <si>
    <t>22% service charge</t>
  </si>
  <si>
    <t>tax</t>
  </si>
  <si>
    <t>Total F&amp;B</t>
  </si>
  <si>
    <t>Décor</t>
  </si>
  <si>
    <t xml:space="preserve">centerpieces, stage décor, etc. </t>
  </si>
  <si>
    <t>A/V</t>
  </si>
  <si>
    <t>Parking</t>
  </si>
  <si>
    <t>Room Charge</t>
  </si>
  <si>
    <t>room fee waived, charge for 6' display tables for expo</t>
  </si>
  <si>
    <t>Graphic Design</t>
  </si>
  <si>
    <t>Printing</t>
  </si>
  <si>
    <t>singnage, program, fliers</t>
  </si>
  <si>
    <t>Event Planning Support</t>
  </si>
  <si>
    <t>Speaker Fees</t>
  </si>
  <si>
    <t>Lodging</t>
  </si>
  <si>
    <t>Online Registration</t>
  </si>
  <si>
    <t>registration fees</t>
  </si>
  <si>
    <t>included a convenience fee this year for tickets purchased with credit cards</t>
  </si>
  <si>
    <t>credit card fees</t>
  </si>
  <si>
    <t>Videography</t>
  </si>
  <si>
    <t>Miscellaneous</t>
  </si>
  <si>
    <t>name badges+ stuffing, ribbons, tax</t>
  </si>
  <si>
    <t>Promotional Items</t>
  </si>
  <si>
    <t>Total Expenses</t>
  </si>
  <si>
    <t>Revenues from GA</t>
  </si>
  <si>
    <t>see details on next sheet, does not include in-kind</t>
  </si>
  <si>
    <t>CalCOG, Mobility 21, SCAG</t>
  </si>
  <si>
    <t xml:space="preserve">2019 Actual </t>
  </si>
  <si>
    <t>h</t>
  </si>
  <si>
    <t>i</t>
  </si>
  <si>
    <t>legislative advocacy and grant writing support</t>
  </si>
  <si>
    <t>media, social media, newsletter, annual video</t>
  </si>
  <si>
    <t>j</t>
  </si>
  <si>
    <t>2020 General Assembly Working Budget</t>
  </si>
  <si>
    <t>2020 Budget</t>
  </si>
  <si>
    <t>based on 300*5</t>
  </si>
  <si>
    <t>FY 2018-19 Actual</t>
  </si>
  <si>
    <t>FY 19-20 July 19 - May 20 Actual</t>
  </si>
  <si>
    <t>FY 19-20 Budget</t>
  </si>
  <si>
    <t>FY 19-20 Actual as % of Budget</t>
  </si>
  <si>
    <t>Proposed FY 20-21 Budget</t>
  </si>
  <si>
    <t>47225 · Data Acquisition</t>
  </si>
  <si>
    <t>61050 · Data Acquisition Costs</t>
  </si>
  <si>
    <t>2020 additional support for potential litigation and also contract development for OCDAP</t>
  </si>
  <si>
    <t xml:space="preserve">h. </t>
  </si>
  <si>
    <t>k.</t>
  </si>
  <si>
    <t>b.</t>
  </si>
  <si>
    <t>c.</t>
  </si>
  <si>
    <t>d.</t>
  </si>
  <si>
    <t>e.</t>
  </si>
  <si>
    <t>f.</t>
  </si>
  <si>
    <t>g.</t>
  </si>
  <si>
    <t>j.</t>
  </si>
  <si>
    <t>2020 Actual</t>
  </si>
  <si>
    <t>2021 Budget</t>
  </si>
  <si>
    <t>no change for FY20-21 per contract terms</t>
  </si>
  <si>
    <t>cancel GrantFinder due to lack of use</t>
  </si>
  <si>
    <t>FY 20/21 Budget Notes</t>
  </si>
  <si>
    <t>k</t>
  </si>
  <si>
    <t>l</t>
  </si>
  <si>
    <t>m</t>
  </si>
  <si>
    <t>2020 based on in-hand, additional pledges received</t>
  </si>
  <si>
    <t>2020 is deposit to hold date, will be rolled over to 2021</t>
  </si>
  <si>
    <t>2020 is conference bags, will be used in 2021</t>
  </si>
  <si>
    <t>budget added for live streaming in 2021</t>
  </si>
  <si>
    <t>62165 · Grant writing and policy/legislative analysis</t>
  </si>
  <si>
    <t>a1</t>
  </si>
  <si>
    <t>OCDAP- $56,672 will be held in reserve; OCCOG acting as pass-through for billing. This line is revenue from other agencies.</t>
  </si>
  <si>
    <t>a2</t>
  </si>
  <si>
    <t>increase has been approved by CDR stakeholders in new MOU</t>
  </si>
  <si>
    <t>n</t>
  </si>
  <si>
    <t>Net revenue over expenditures includes $56,672 in reserves for OCDAP.</t>
  </si>
  <si>
    <t>OCCOG contribution to OCDAP</t>
  </si>
  <si>
    <t>INCLUDED WITH COMMS LAB RETAINER 2020, 2021</t>
  </si>
  <si>
    <t>20/21 includes Lisa Telles retainer as well as time from Kathryn Morrison</t>
  </si>
  <si>
    <t>change from 55/hr to 1500/month retainer in 2020-21 to better contain costs</t>
  </si>
  <si>
    <t>OCDAP- $56,672 will be held in reserve; OCCOG acting as pass-through for billing.</t>
  </si>
  <si>
    <t>Fullerton has committed to return in FY 20/21, 0% dues increase</t>
  </si>
  <si>
    <t>OCCOG Board approved 3-Year CDR MOU and Budget</t>
  </si>
  <si>
    <t>2022-23</t>
  </si>
  <si>
    <t>2021-22</t>
  </si>
  <si>
    <t>2020-21</t>
  </si>
  <si>
    <t>Total CDR Fees for FY 2020-21</t>
  </si>
  <si>
    <t>Fees Based on Population - 2/3 of total Fees</t>
  </si>
  <si>
    <t>Base Fees - 1/3 of total Fees</t>
  </si>
  <si>
    <t>Population Estimate - January 1, 2020 California State Department of Finance (www.dof.ca.gov).</t>
  </si>
  <si>
    <t>Total County Population</t>
  </si>
  <si>
    <t>Unincorporated total</t>
  </si>
  <si>
    <t>County Total</t>
  </si>
  <si>
    <t>Incorporated</t>
  </si>
  <si>
    <t>Incorporated City totals</t>
  </si>
  <si>
    <t xml:space="preserve">Balance Of County    </t>
  </si>
  <si>
    <t xml:space="preserve">Yorba Linda         </t>
  </si>
  <si>
    <t xml:space="preserve">Westminster         </t>
  </si>
  <si>
    <t xml:space="preserve">Villa Park          </t>
  </si>
  <si>
    <t xml:space="preserve">Tustin              </t>
  </si>
  <si>
    <t xml:space="preserve">Stanton             </t>
  </si>
  <si>
    <t xml:space="preserve">Seal Beach          </t>
  </si>
  <si>
    <t xml:space="preserve">Santa Ana           </t>
  </si>
  <si>
    <t xml:space="preserve">San Juan Capistrano </t>
  </si>
  <si>
    <t xml:space="preserve">San Clemente        </t>
  </si>
  <si>
    <t>Rancho Santa Margarita</t>
  </si>
  <si>
    <t xml:space="preserve">Placentia           </t>
  </si>
  <si>
    <t xml:space="preserve">Orange              </t>
  </si>
  <si>
    <t xml:space="preserve">Newport Beach       </t>
  </si>
  <si>
    <t xml:space="preserve">Mission Viejo       </t>
  </si>
  <si>
    <t xml:space="preserve">Los Alamitos        </t>
  </si>
  <si>
    <t xml:space="preserve">La Palma            </t>
  </si>
  <si>
    <t xml:space="preserve">Lake Forest         </t>
  </si>
  <si>
    <t xml:space="preserve">La Habra            </t>
  </si>
  <si>
    <t>Laguna Woods</t>
  </si>
  <si>
    <t xml:space="preserve">Laguna Niguel       </t>
  </si>
  <si>
    <t xml:space="preserve">Laguna Hills        </t>
  </si>
  <si>
    <t xml:space="preserve">Laguna Beach        </t>
  </si>
  <si>
    <t xml:space="preserve">Irvine              </t>
  </si>
  <si>
    <t xml:space="preserve">Huntington Beach    </t>
  </si>
  <si>
    <t xml:space="preserve">Garden Grove        </t>
  </si>
  <si>
    <t xml:space="preserve">Fullerton           </t>
  </si>
  <si>
    <t xml:space="preserve">Fountain Valley     </t>
  </si>
  <si>
    <t xml:space="preserve">Dana Point          </t>
  </si>
  <si>
    <t xml:space="preserve">Cypress             </t>
  </si>
  <si>
    <t xml:space="preserve">Costa Mesa          </t>
  </si>
  <si>
    <t xml:space="preserve">Buena Park          </t>
  </si>
  <si>
    <t xml:space="preserve">Brea                </t>
  </si>
  <si>
    <t xml:space="preserve">Anaheim             </t>
  </si>
  <si>
    <t>Aliso Viejo</t>
  </si>
  <si>
    <t>Total Fees</t>
  </si>
  <si>
    <t>1/3 Base Fees</t>
  </si>
  <si>
    <t>Weighted Fees % of Total Pop.</t>
  </si>
  <si>
    <t>% Population</t>
  </si>
  <si>
    <t>City Population*</t>
  </si>
  <si>
    <t>City Name</t>
  </si>
  <si>
    <t>Fiscal Year 2020-21 Cost for Demographic Research (CSUF) Schedule</t>
  </si>
  <si>
    <t>REMEMBER TO PASTE THE TOTALS USING THE DOF SORT ORDER</t>
  </si>
  <si>
    <t>OCDAP Cycle 1 Payment Log (2020-2022)</t>
  </si>
  <si>
    <t>Agency</t>
  </si>
  <si>
    <t>Cycle 1</t>
  </si>
  <si>
    <t>Date Billed</t>
  </si>
  <si>
    <t>Amount Paid</t>
  </si>
  <si>
    <t>Date Paid</t>
  </si>
  <si>
    <t>Type</t>
  </si>
  <si>
    <t>Anaheim</t>
  </si>
  <si>
    <t>city</t>
  </si>
  <si>
    <t>Brea</t>
  </si>
  <si>
    <t>Costa Mesa</t>
  </si>
  <si>
    <t>Fountain Valley</t>
  </si>
  <si>
    <t>Laguna Hills</t>
  </si>
  <si>
    <t>Laguna Niguel</t>
  </si>
  <si>
    <t>Mission Viejo</t>
  </si>
  <si>
    <t>Newport Beach</t>
  </si>
  <si>
    <t>San Clemente</t>
  </si>
  <si>
    <t>Santa Ana</t>
  </si>
  <si>
    <t>Yorba Linda</t>
  </si>
  <si>
    <t>MWDOC</t>
  </si>
  <si>
    <t>OCCOG</t>
  </si>
  <si>
    <t>OCFA</t>
  </si>
  <si>
    <t>OCWD</t>
  </si>
  <si>
    <t>NON-SCAG subtotal</t>
  </si>
  <si>
    <t>NA</t>
  </si>
  <si>
    <t>SCAG</t>
  </si>
  <si>
    <t>OCCOG will not bill SCAG</t>
  </si>
  <si>
    <t>Funding Partners Total</t>
  </si>
  <si>
    <t>Cycle 1 cost</t>
  </si>
  <si>
    <t>Non-SCAG Cycle 1 cost</t>
  </si>
  <si>
    <t>Potential balance</t>
  </si>
  <si>
    <t>This amount will be kept in OCCOG-held account as a reserve for Cycle 1.</t>
  </si>
  <si>
    <t xml:space="preserve">This amount will be paid to SCAG from funds collected by OCCOG and includes OCCOG's $20,000. </t>
  </si>
  <si>
    <t>Fiscal Year 2020-21 OCCOG Dues Schedule</t>
  </si>
  <si>
    <t>0% increase</t>
  </si>
  <si>
    <t>Agency Name</t>
  </si>
  <si>
    <t>2/3
Weighted Dues % of Total Pop.</t>
  </si>
  <si>
    <t>1/3 
Base Dues</t>
  </si>
  <si>
    <t>Fixed Dues
(Non-City Members)</t>
  </si>
  <si>
    <t>Total Dues</t>
  </si>
  <si>
    <t>County of Orange (withdrew)</t>
  </si>
  <si>
    <t>OCTA</t>
  </si>
  <si>
    <t>TCA</t>
  </si>
  <si>
    <t>OC Sanitation District</t>
  </si>
  <si>
    <t>ISDOC</t>
  </si>
  <si>
    <t>South Coast AQMD</t>
  </si>
  <si>
    <t>Base Dues - 1/3 of total Dues Less Fixed Dues</t>
  </si>
  <si>
    <t>Dues Based on Population - 2/3 of total Dues Less Fixed Dues</t>
  </si>
  <si>
    <t>Fixed Dues - Non-City agencies</t>
  </si>
  <si>
    <t>Rev. 6/22/2020</t>
  </si>
  <si>
    <t>add what would have been Fullerton's dues back in</t>
  </si>
  <si>
    <t>FY19/20</t>
  </si>
  <si>
    <t>ENTER % INCREASE HERE FOR AUTOCALCULATIONS</t>
  </si>
  <si>
    <t>INCREASE OVER 2019/20</t>
  </si>
  <si>
    <t>FY2020/21</t>
  </si>
  <si>
    <t>STEP 1- PASTE VALUES- DOF CITY NAME AND POP DATA HERE</t>
  </si>
  <si>
    <t>STEP 3- PASTE CITY TOTALS FROM COLUMN L (RED) INTO COLUMN C</t>
  </si>
  <si>
    <t>STEP 2- PASTE "BALANCE OF COUNTY" INTO CELL C50</t>
  </si>
  <si>
    <t>o</t>
  </si>
  <si>
    <t>OCCOG is caretaker of OCDAP revenue and reserve balance.</t>
  </si>
  <si>
    <t xml:space="preserve">Funds Held in Reserve Per OCCOG Reserve Policy </t>
  </si>
  <si>
    <t xml:space="preserve">Funds Held in Reserve for OCDAP  </t>
  </si>
  <si>
    <t>p</t>
  </si>
  <si>
    <t>q</t>
  </si>
  <si>
    <t>Reserve balance share: Fund balance / Total FY expenditures</t>
  </si>
  <si>
    <t>Funds held in reserve per OCCOG reseve policy</t>
  </si>
  <si>
    <t>Available funds for FY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</si>
</sst>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_);\(0\)"/>
    <numFmt numFmtId="166" formatCode="_([$$-409]* #,##0.00_);_([$$-409]* \(#,##0.00\);_([$$-409]* &quot;-&quot;??_);_(@_)"/>
    <numFmt numFmtId="167" formatCode="0.0%"/>
    <numFmt numFmtId="168" formatCode="0.0000%"/>
    <numFmt numFmtId="169" formatCode="&quot;$&quot;#,##0.00"/>
    <numFmt numFmtId="170" formatCode="_(&quot;$&quot;* #,##0_);_(&quot;$&quot;* \(#,##0\);_(&quot;$&quot;* &quot;-&quot;??_);_(@_)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323232"/>
      <name val="Arial"/>
      <family val="2"/>
    </font>
    <font>
      <sz val="8"/>
      <color theme="1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trike/>
      <sz val="9"/>
      <name val="Arial"/>
      <family val="2"/>
    </font>
    <font>
      <strike/>
      <sz val="9"/>
      <name val="Arial"/>
      <family val="2"/>
    </font>
    <font>
      <strike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Verdana"/>
    </font>
    <font>
      <sz val="10"/>
      <name val="Verdana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sz val="12"/>
      <color rgb="FF7030A0"/>
      <name val="Arial"/>
      <family val="2"/>
    </font>
    <font>
      <i/>
      <sz val="12"/>
      <color rgb="FF7030A0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double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7" fillId="0" borderId="0"/>
    <xf numFmtId="0" fontId="38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" fillId="0" borderId="0"/>
    <xf numFmtId="44" fontId="39" fillId="0" borderId="0" applyFont="0" applyFill="0" applyBorder="0" applyAlignment="0" applyProtection="0"/>
    <xf numFmtId="0" fontId="36" fillId="0" borderId="0"/>
    <xf numFmtId="0" fontId="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" fillId="0" borderId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35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43" fontId="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 wrapText="1"/>
    </xf>
    <xf numFmtId="165" fontId="5" fillId="0" borderId="0" xfId="0" applyNumberFormat="1" applyFont="1" applyAlignment="1">
      <alignment horizontal="left"/>
    </xf>
    <xf numFmtId="41" fontId="5" fillId="0" borderId="0" xfId="0" applyNumberFormat="1" applyFont="1" applyAlignment="1">
      <alignment horizontal="left"/>
    </xf>
    <xf numFmtId="0" fontId="8" fillId="0" borderId="0" xfId="0" applyFont="1"/>
    <xf numFmtId="41" fontId="9" fillId="0" borderId="0" xfId="0" applyNumberFormat="1" applyFont="1"/>
    <xf numFmtId="41" fontId="9" fillId="0" borderId="2" xfId="0" applyNumberFormat="1" applyFont="1" applyBorder="1"/>
    <xf numFmtId="41" fontId="9" fillId="0" borderId="3" xfId="0" applyNumberFormat="1" applyFont="1" applyBorder="1"/>
    <xf numFmtId="41" fontId="8" fillId="0" borderId="0" xfId="0" applyNumberFormat="1" applyFont="1"/>
    <xf numFmtId="9" fontId="0" fillId="0" borderId="0" xfId="0" applyNumberFormat="1"/>
    <xf numFmtId="9" fontId="8" fillId="0" borderId="0" xfId="0" applyNumberFormat="1" applyFont="1"/>
    <xf numFmtId="0" fontId="10" fillId="0" borderId="0" xfId="0" applyFont="1"/>
    <xf numFmtId="0" fontId="3" fillId="0" borderId="0" xfId="0" applyFont="1"/>
    <xf numFmtId="43" fontId="5" fillId="0" borderId="0" xfId="0" applyNumberFormat="1" applyFont="1" applyAlignment="1">
      <alignment horizontal="right"/>
    </xf>
    <xf numFmtId="49" fontId="12" fillId="0" borderId="0" xfId="0" applyNumberFormat="1" applyFont="1"/>
    <xf numFmtId="49" fontId="3" fillId="0" borderId="0" xfId="0" applyNumberFormat="1" applyFont="1"/>
    <xf numFmtId="49" fontId="0" fillId="0" borderId="0" xfId="0" applyNumberFormat="1" applyAlignment="1">
      <alignment horizontal="centerContinuous"/>
    </xf>
    <xf numFmtId="9" fontId="0" fillId="0" borderId="0" xfId="0" applyNumberFormat="1" applyAlignment="1">
      <alignment horizontal="centerContinuous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5" fillId="0" borderId="0" xfId="0" applyNumberFormat="1" applyFont="1"/>
    <xf numFmtId="49" fontId="5" fillId="0" borderId="0" xfId="0" applyNumberFormat="1" applyFont="1"/>
    <xf numFmtId="9" fontId="5" fillId="0" borderId="0" xfId="0" applyNumberFormat="1" applyFont="1"/>
    <xf numFmtId="41" fontId="5" fillId="0" borderId="0" xfId="0" applyNumberFormat="1" applyFont="1" applyAlignment="1">
      <alignment horizontal="right"/>
    </xf>
    <xf numFmtId="41" fontId="3" fillId="0" borderId="0" xfId="0" applyNumberFormat="1" applyFont="1"/>
    <xf numFmtId="41" fontId="5" fillId="0" borderId="0" xfId="0" applyNumberFormat="1" applyFont="1"/>
    <xf numFmtId="41" fontId="9" fillId="0" borderId="0" xfId="0" applyNumberFormat="1" applyFont="1" applyAlignment="1">
      <alignment horizontal="right"/>
    </xf>
    <xf numFmtId="41" fontId="11" fillId="0" borderId="0" xfId="0" applyNumberFormat="1" applyFont="1"/>
    <xf numFmtId="49" fontId="9" fillId="0" borderId="0" xfId="0" applyNumberFormat="1" applyFont="1"/>
    <xf numFmtId="164" fontId="9" fillId="0" borderId="0" xfId="0" applyNumberFormat="1" applyFont="1"/>
    <xf numFmtId="9" fontId="9" fillId="0" borderId="0" xfId="0" applyNumberFormat="1" applyFont="1"/>
    <xf numFmtId="41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/>
    <xf numFmtId="164" fontId="9" fillId="0" borderId="2" xfId="0" applyNumberFormat="1" applyFont="1" applyBorder="1"/>
    <xf numFmtId="9" fontId="9" fillId="0" borderId="2" xfId="0" applyNumberFormat="1" applyFont="1" applyBorder="1"/>
    <xf numFmtId="41" fontId="9" fillId="0" borderId="4" xfId="0" applyNumberFormat="1" applyFont="1" applyBorder="1"/>
    <xf numFmtId="164" fontId="9" fillId="0" borderId="4" xfId="0" applyNumberFormat="1" applyFont="1" applyBorder="1"/>
    <xf numFmtId="9" fontId="9" fillId="0" borderId="4" xfId="0" applyNumberFormat="1" applyFont="1" applyBorder="1"/>
    <xf numFmtId="49" fontId="11" fillId="0" borderId="0" xfId="0" applyNumberFormat="1" applyFont="1"/>
    <xf numFmtId="164" fontId="11" fillId="0" borderId="6" xfId="0" applyNumberFormat="1" applyFont="1" applyBorder="1"/>
    <xf numFmtId="49" fontId="11" fillId="0" borderId="6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41" fontId="9" fillId="0" borderId="4" xfId="0" applyNumberFormat="1" applyFont="1" applyBorder="1" applyAlignment="1">
      <alignment horizontal="right"/>
    </xf>
    <xf numFmtId="9" fontId="9" fillId="0" borderId="3" xfId="0" applyNumberFormat="1" applyFont="1" applyBorder="1"/>
    <xf numFmtId="42" fontId="9" fillId="0" borderId="0" xfId="0" applyNumberFormat="1" applyFont="1"/>
    <xf numFmtId="9" fontId="10" fillId="0" borderId="0" xfId="0" applyNumberFormat="1" applyFont="1"/>
    <xf numFmtId="43" fontId="16" fillId="0" borderId="0" xfId="0" applyNumberFormat="1" applyFont="1" applyAlignment="1">
      <alignment horizontal="right"/>
    </xf>
    <xf numFmtId="42" fontId="17" fillId="0" borderId="0" xfId="0" applyNumberFormat="1" applyFont="1" applyAlignment="1">
      <alignment horizontal="left"/>
    </xf>
    <xf numFmtId="42" fontId="17" fillId="0" borderId="6" xfId="0" applyNumberFormat="1" applyFont="1" applyBorder="1" applyAlignment="1">
      <alignment horizontal="right"/>
    </xf>
    <xf numFmtId="42" fontId="17" fillId="0" borderId="6" xfId="0" applyNumberFormat="1" applyFont="1" applyBorder="1"/>
    <xf numFmtId="49" fontId="17" fillId="0" borderId="6" xfId="0" applyNumberFormat="1" applyFont="1" applyBorder="1"/>
    <xf numFmtId="164" fontId="17" fillId="0" borderId="6" xfId="0" applyNumberFormat="1" applyFont="1" applyBorder="1"/>
    <xf numFmtId="42" fontId="2" fillId="0" borderId="0" xfId="0" applyNumberFormat="1" applyFont="1"/>
    <xf numFmtId="49" fontId="17" fillId="0" borderId="0" xfId="0" applyNumberFormat="1" applyFont="1"/>
    <xf numFmtId="42" fontId="17" fillId="0" borderId="0" xfId="0" applyNumberFormat="1" applyFont="1"/>
    <xf numFmtId="164" fontId="17" fillId="0" borderId="0" xfId="0" applyNumberFormat="1" applyFont="1"/>
    <xf numFmtId="9" fontId="17" fillId="0" borderId="0" xfId="0" applyNumberFormat="1" applyFont="1"/>
    <xf numFmtId="41" fontId="17" fillId="0" borderId="0" xfId="0" applyNumberFormat="1" applyFont="1"/>
    <xf numFmtId="0" fontId="18" fillId="0" borderId="0" xfId="0" applyFont="1"/>
    <xf numFmtId="6" fontId="18" fillId="0" borderId="0" xfId="0" applyNumberFormat="1" applyFont="1"/>
    <xf numFmtId="0" fontId="19" fillId="0" borderId="0" xfId="0" applyFont="1"/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41" fontId="22" fillId="0" borderId="0" xfId="0" applyNumberFormat="1" applyFont="1" applyAlignment="1">
      <alignment horizontal="right"/>
    </xf>
    <xf numFmtId="41" fontId="18" fillId="0" borderId="0" xfId="0" applyNumberFormat="1" applyFont="1"/>
    <xf numFmtId="41" fontId="23" fillId="0" borderId="0" xfId="0" applyNumberFormat="1" applyFont="1"/>
    <xf numFmtId="0" fontId="23" fillId="0" borderId="0" xfId="0" applyFont="1"/>
    <xf numFmtId="9" fontId="23" fillId="0" borderId="0" xfId="0" applyNumberFormat="1" applyFont="1"/>
    <xf numFmtId="0" fontId="24" fillId="0" borderId="0" xfId="0" applyFont="1"/>
    <xf numFmtId="43" fontId="22" fillId="0" borderId="0" xfId="0" applyNumberFormat="1" applyFont="1" applyAlignment="1">
      <alignment horizontal="right"/>
    </xf>
    <xf numFmtId="0" fontId="25" fillId="0" borderId="0" xfId="0" applyFont="1"/>
    <xf numFmtId="49" fontId="3" fillId="0" borderId="2" xfId="0" applyNumberFormat="1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41" fontId="9" fillId="0" borderId="0" xfId="0" applyNumberFormat="1" applyFont="1" applyAlignment="1">
      <alignment vertical="top"/>
    </xf>
    <xf numFmtId="41" fontId="4" fillId="0" borderId="0" xfId="0" applyNumberFormat="1" applyFont="1"/>
    <xf numFmtId="0" fontId="27" fillId="0" borderId="0" xfId="0" applyFont="1"/>
    <xf numFmtId="41" fontId="9" fillId="0" borderId="0" xfId="0" applyNumberFormat="1" applyFont="1" applyFill="1"/>
    <xf numFmtId="41" fontId="9" fillId="0" borderId="2" xfId="0" applyNumberFormat="1" applyFont="1" applyFill="1" applyBorder="1"/>
    <xf numFmtId="166" fontId="0" fillId="0" borderId="0" xfId="0" applyNumberFormat="1"/>
    <xf numFmtId="0" fontId="0" fillId="0" borderId="0" xfId="0" applyAlignment="1">
      <alignment wrapText="1"/>
    </xf>
    <xf numFmtId="49" fontId="12" fillId="0" borderId="0" xfId="0" applyNumberFormat="1" applyFont="1" applyFill="1"/>
    <xf numFmtId="41" fontId="9" fillId="0" borderId="0" xfId="0" applyNumberFormat="1" applyFont="1" applyFill="1" applyAlignment="1">
      <alignment horizontal="right"/>
    </xf>
    <xf numFmtId="41" fontId="11" fillId="0" borderId="0" xfId="0" applyNumberFormat="1" applyFont="1" applyFill="1"/>
    <xf numFmtId="49" fontId="9" fillId="0" borderId="0" xfId="0" applyNumberFormat="1" applyFont="1" applyFill="1"/>
    <xf numFmtId="164" fontId="9" fillId="0" borderId="0" xfId="0" applyNumberFormat="1" applyFont="1" applyFill="1"/>
    <xf numFmtId="9" fontId="9" fillId="0" borderId="0" xfId="0" applyNumberFormat="1" applyFont="1" applyFill="1"/>
    <xf numFmtId="0" fontId="8" fillId="0" borderId="0" xfId="0" applyFont="1" applyFill="1"/>
    <xf numFmtId="41" fontId="5" fillId="0" borderId="0" xfId="0" applyNumberFormat="1" applyFont="1" applyFill="1" applyAlignment="1">
      <alignment horizontal="left"/>
    </xf>
    <xf numFmtId="0" fontId="0" fillId="0" borderId="0" xfId="0" applyFill="1"/>
    <xf numFmtId="42" fontId="17" fillId="0" borderId="6" xfId="0" applyNumberFormat="1" applyFont="1" applyFill="1" applyBorder="1"/>
    <xf numFmtId="41" fontId="9" fillId="0" borderId="4" xfId="0" applyNumberFormat="1" applyFont="1" applyFill="1" applyBorder="1" applyAlignment="1">
      <alignment horizontal="right"/>
    </xf>
    <xf numFmtId="41" fontId="9" fillId="0" borderId="3" xfId="0" applyNumberFormat="1" applyFont="1" applyFill="1" applyBorder="1"/>
    <xf numFmtId="43" fontId="3" fillId="0" borderId="0" xfId="0" applyNumberFormat="1" applyFont="1" applyFill="1" applyAlignment="1">
      <alignment horizontal="center"/>
    </xf>
    <xf numFmtId="43" fontId="3" fillId="0" borderId="2" xfId="0" applyNumberFormat="1" applyFont="1" applyFill="1" applyBorder="1" applyAlignment="1">
      <alignment horizontal="center" wrapText="1"/>
    </xf>
    <xf numFmtId="43" fontId="5" fillId="0" borderId="0" xfId="0" applyNumberFormat="1" applyFont="1" applyFill="1"/>
    <xf numFmtId="41" fontId="17" fillId="0" borderId="0" xfId="0" applyNumberFormat="1" applyFont="1" applyFill="1"/>
    <xf numFmtId="43" fontId="9" fillId="0" borderId="0" xfId="0" applyNumberFormat="1" applyFont="1" applyFill="1"/>
    <xf numFmtId="41" fontId="7" fillId="0" borderId="0" xfId="0" applyNumberFormat="1" applyFont="1" applyFill="1" applyAlignment="1">
      <alignment horizontal="right"/>
    </xf>
    <xf numFmtId="43" fontId="26" fillId="0" borderId="0" xfId="0" applyNumberFormat="1" applyFont="1" applyFill="1"/>
    <xf numFmtId="43" fontId="0" fillId="0" borderId="0" xfId="0" applyNumberFormat="1"/>
    <xf numFmtId="9" fontId="9" fillId="0" borderId="0" xfId="0" applyNumberFormat="1" applyFont="1" applyBorder="1"/>
    <xf numFmtId="0" fontId="30" fillId="0" borderId="0" xfId="0" applyFont="1"/>
    <xf numFmtId="43" fontId="31" fillId="0" borderId="0" xfId="0" applyNumberFormat="1" applyFont="1" applyAlignment="1">
      <alignment horizontal="right"/>
    </xf>
    <xf numFmtId="0" fontId="33" fillId="0" borderId="0" xfId="0" applyFont="1"/>
    <xf numFmtId="9" fontId="9" fillId="0" borderId="6" xfId="0" applyNumberFormat="1" applyFont="1" applyBorder="1"/>
    <xf numFmtId="49" fontId="3" fillId="0" borderId="0" xfId="0" applyNumberFormat="1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Continuous"/>
    </xf>
    <xf numFmtId="49" fontId="3" fillId="2" borderId="2" xfId="0" applyNumberFormat="1" applyFont="1" applyFill="1" applyBorder="1" applyAlignment="1">
      <alignment horizontal="center" wrapText="1"/>
    </xf>
    <xf numFmtId="164" fontId="5" fillId="2" borderId="0" xfId="0" applyNumberFormat="1" applyFont="1" applyFill="1"/>
    <xf numFmtId="42" fontId="17" fillId="2" borderId="6" xfId="0" applyNumberFormat="1" applyFont="1" applyFill="1" applyBorder="1"/>
    <xf numFmtId="41" fontId="17" fillId="2" borderId="0" xfId="0" applyNumberFormat="1" applyFont="1" applyFill="1" applyBorder="1"/>
    <xf numFmtId="41" fontId="5" fillId="2" borderId="0" xfId="0" applyNumberFormat="1" applyFont="1" applyFill="1"/>
    <xf numFmtId="41" fontId="9" fillId="2" borderId="0" xfId="0" applyNumberFormat="1" applyFont="1" applyFill="1"/>
    <xf numFmtId="41" fontId="9" fillId="2" borderId="0" xfId="0" applyNumberFormat="1" applyFont="1" applyFill="1" applyBorder="1"/>
    <xf numFmtId="41" fontId="9" fillId="2" borderId="4" xfId="0" applyNumberFormat="1" applyFont="1" applyFill="1" applyBorder="1" applyAlignment="1">
      <alignment horizontal="right"/>
    </xf>
    <xf numFmtId="41" fontId="9" fillId="2" borderId="2" xfId="0" applyNumberFormat="1" applyFont="1" applyFill="1" applyBorder="1"/>
    <xf numFmtId="41" fontId="9" fillId="2" borderId="0" xfId="0" applyNumberFormat="1" applyFont="1" applyFill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0" fontId="0" fillId="2" borderId="0" xfId="0" applyNumberFormat="1" applyFill="1"/>
    <xf numFmtId="41" fontId="9" fillId="2" borderId="4" xfId="0" applyNumberFormat="1" applyFont="1" applyFill="1" applyBorder="1"/>
    <xf numFmtId="41" fontId="9" fillId="2" borderId="3" xfId="0" applyNumberFormat="1" applyFont="1" applyFill="1" applyBorder="1"/>
    <xf numFmtId="41" fontId="9" fillId="2" borderId="0" xfId="0" applyNumberFormat="1" applyFont="1" applyFill="1" applyBorder="1" applyAlignment="1">
      <alignment horizontal="right"/>
    </xf>
    <xf numFmtId="0" fontId="23" fillId="2" borderId="0" xfId="0" applyNumberFormat="1" applyFont="1" applyFill="1"/>
    <xf numFmtId="0" fontId="10" fillId="2" borderId="0" xfId="0" applyNumberFormat="1" applyFont="1" applyFill="1"/>
    <xf numFmtId="0" fontId="32" fillId="2" borderId="0" xfId="0" applyNumberFormat="1" applyFont="1" applyFill="1"/>
    <xf numFmtId="0" fontId="0" fillId="2" borderId="0" xfId="0" applyNumberFormat="1" applyFont="1" applyFill="1"/>
    <xf numFmtId="41" fontId="0" fillId="0" borderId="0" xfId="0" applyNumberFormat="1" applyFill="1"/>
    <xf numFmtId="0" fontId="34" fillId="0" borderId="0" xfId="0" applyFont="1"/>
    <xf numFmtId="0" fontId="34" fillId="0" borderId="0" xfId="0" applyFont="1" applyFill="1"/>
    <xf numFmtId="0" fontId="35" fillId="0" borderId="0" xfId="0" applyFont="1" applyFill="1" applyAlignment="1">
      <alignment horizontal="left"/>
    </xf>
    <xf numFmtId="41" fontId="5" fillId="0" borderId="0" xfId="0" applyNumberFormat="1" applyFont="1" applyFill="1" applyAlignment="1">
      <alignment horizontal="right"/>
    </xf>
    <xf numFmtId="41" fontId="3" fillId="0" borderId="0" xfId="0" applyNumberFormat="1" applyFont="1" applyFill="1"/>
    <xf numFmtId="41" fontId="5" fillId="0" borderId="0" xfId="0" applyNumberFormat="1" applyFont="1" applyFill="1"/>
    <xf numFmtId="49" fontId="5" fillId="0" borderId="0" xfId="0" applyNumberFormat="1" applyFont="1" applyFill="1"/>
    <xf numFmtId="164" fontId="5" fillId="0" borderId="0" xfId="0" applyNumberFormat="1" applyFont="1" applyFill="1"/>
    <xf numFmtId="9" fontId="5" fillId="0" borderId="0" xfId="0" applyNumberFormat="1" applyFont="1" applyFill="1"/>
    <xf numFmtId="165" fontId="5" fillId="0" borderId="0" xfId="0" applyNumberFormat="1" applyFont="1" applyFill="1" applyAlignment="1">
      <alignment horizontal="left"/>
    </xf>
    <xf numFmtId="41" fontId="9" fillId="3" borderId="0" xfId="0" applyNumberFormat="1" applyFont="1" applyFill="1"/>
    <xf numFmtId="41" fontId="9" fillId="4" borderId="0" xfId="0" applyNumberFormat="1" applyFont="1" applyFill="1"/>
    <xf numFmtId="0" fontId="16" fillId="0" borderId="0" xfId="0" applyFont="1"/>
    <xf numFmtId="41" fontId="0" fillId="0" borderId="0" xfId="0" applyNumberFormat="1"/>
    <xf numFmtId="0" fontId="7" fillId="0" borderId="0" xfId="2" applyFont="1"/>
    <xf numFmtId="43" fontId="7" fillId="0" borderId="0" xfId="2" applyNumberFormat="1" applyFont="1"/>
    <xf numFmtId="10" fontId="7" fillId="0" borderId="0" xfId="2" applyNumberFormat="1" applyFont="1"/>
    <xf numFmtId="7" fontId="7" fillId="0" borderId="0" xfId="2" applyNumberFormat="1" applyFont="1"/>
    <xf numFmtId="167" fontId="7" fillId="0" borderId="0" xfId="3" applyNumberFormat="1" applyFont="1"/>
    <xf numFmtId="8" fontId="7" fillId="0" borderId="0" xfId="2" applyNumberFormat="1" applyFont="1"/>
    <xf numFmtId="43" fontId="7" fillId="0" borderId="0" xfId="4" applyFont="1"/>
    <xf numFmtId="14" fontId="7" fillId="0" borderId="0" xfId="2" applyNumberFormat="1" applyFont="1" applyAlignment="1">
      <alignment horizontal="left"/>
    </xf>
    <xf numFmtId="14" fontId="7" fillId="0" borderId="0" xfId="2" applyNumberFormat="1" applyFont="1"/>
    <xf numFmtId="7" fontId="40" fillId="0" borderId="0" xfId="5" applyNumberFormat="1" applyFont="1" applyFill="1" applyBorder="1" applyAlignment="1">
      <alignment horizontal="right"/>
    </xf>
    <xf numFmtId="0" fontId="41" fillId="0" borderId="0" xfId="2" applyFont="1" applyFill="1" applyBorder="1" applyAlignment="1">
      <alignment horizontal="right"/>
    </xf>
    <xf numFmtId="168" fontId="7" fillId="0" borderId="0" xfId="2" applyNumberFormat="1" applyFont="1"/>
    <xf numFmtId="8" fontId="7" fillId="0" borderId="5" xfId="2" applyNumberFormat="1" applyFont="1" applyBorder="1"/>
    <xf numFmtId="8" fontId="7" fillId="0" borderId="6" xfId="2" applyNumberFormat="1" applyFont="1" applyFill="1" applyBorder="1"/>
    <xf numFmtId="43" fontId="7" fillId="0" borderId="0" xfId="2" applyNumberFormat="1" applyFont="1" applyBorder="1"/>
    <xf numFmtId="3" fontId="7" fillId="0" borderId="0" xfId="2" applyNumberFormat="1" applyFont="1"/>
    <xf numFmtId="0" fontId="42" fillId="0" borderId="0" xfId="2" applyFont="1" applyFill="1" applyAlignment="1">
      <alignment horizontal="left"/>
    </xf>
    <xf numFmtId="44" fontId="7" fillId="0" borderId="0" xfId="2" applyNumberFormat="1" applyFont="1" applyFill="1" applyBorder="1"/>
    <xf numFmtId="0" fontId="42" fillId="0" borderId="0" xfId="2" applyFont="1" applyFill="1" applyBorder="1" applyAlignment="1">
      <alignment horizontal="left" indent="1"/>
    </xf>
    <xf numFmtId="43" fontId="7" fillId="0" borderId="0" xfId="4" applyNumberFormat="1" applyFont="1"/>
    <xf numFmtId="3" fontId="7" fillId="0" borderId="0" xfId="2" applyNumberFormat="1" applyFont="1" applyFill="1" applyBorder="1"/>
    <xf numFmtId="0" fontId="7" fillId="5" borderId="0" xfId="2" applyFont="1" applyFill="1"/>
    <xf numFmtId="43" fontId="43" fillId="0" borderId="0" xfId="6" applyNumberFormat="1" applyFont="1" applyBorder="1"/>
    <xf numFmtId="0" fontId="43" fillId="0" borderId="0" xfId="2" applyFont="1" applyAlignment="1">
      <alignment horizontal="right"/>
    </xf>
    <xf numFmtId="10" fontId="7" fillId="0" borderId="0" xfId="2" applyNumberFormat="1" applyFont="1" applyBorder="1"/>
    <xf numFmtId="3" fontId="7" fillId="0" borderId="6" xfId="2" applyNumberFormat="1" applyFont="1" applyBorder="1"/>
    <xf numFmtId="0" fontId="42" fillId="0" borderId="0" xfId="2" applyFont="1" applyFill="1" applyBorder="1" applyAlignment="1">
      <alignment horizontal="left"/>
    </xf>
    <xf numFmtId="0" fontId="7" fillId="0" borderId="0" xfId="2" applyFont="1" applyBorder="1"/>
    <xf numFmtId="3" fontId="44" fillId="0" borderId="0" xfId="7" applyNumberFormat="1" applyFont="1" applyBorder="1" applyAlignment="1"/>
    <xf numFmtId="3" fontId="7" fillId="0" borderId="0" xfId="2" applyNumberFormat="1" applyFont="1" applyBorder="1"/>
    <xf numFmtId="43" fontId="7" fillId="0" borderId="5" xfId="6" applyNumberFormat="1" applyFont="1" applyBorder="1"/>
    <xf numFmtId="169" fontId="7" fillId="0" borderId="0" xfId="2" applyNumberFormat="1" applyFont="1"/>
    <xf numFmtId="43" fontId="7" fillId="0" borderId="0" xfId="6" applyNumberFormat="1" applyFont="1" applyFill="1" applyBorder="1"/>
    <xf numFmtId="43" fontId="7" fillId="0" borderId="0" xfId="4" applyFont="1" applyBorder="1"/>
    <xf numFmtId="10" fontId="7" fillId="0" borderId="0" xfId="3" applyNumberFormat="1" applyFont="1" applyFill="1" applyBorder="1"/>
    <xf numFmtId="0" fontId="7" fillId="0" borderId="0" xfId="2" applyFont="1" applyFill="1" applyBorder="1"/>
    <xf numFmtId="43" fontId="7" fillId="0" borderId="9" xfId="6" applyNumberFormat="1" applyFont="1" applyFill="1" applyBorder="1"/>
    <xf numFmtId="43" fontId="7" fillId="0" borderId="10" xfId="4" applyFont="1" applyBorder="1"/>
    <xf numFmtId="10" fontId="7" fillId="0" borderId="10" xfId="3" applyNumberFormat="1" applyFont="1" applyFill="1" applyBorder="1"/>
    <xf numFmtId="3" fontId="7" fillId="0" borderId="10" xfId="2" applyNumberFormat="1" applyFont="1" applyFill="1" applyBorder="1"/>
    <xf numFmtId="0" fontId="42" fillId="0" borderId="10" xfId="2" applyFont="1" applyFill="1" applyBorder="1" applyAlignment="1">
      <alignment horizontal="left" indent="1"/>
    </xf>
    <xf numFmtId="0" fontId="7" fillId="0" borderId="11" xfId="2" applyFont="1" applyFill="1" applyBorder="1"/>
    <xf numFmtId="43" fontId="7" fillId="0" borderId="12" xfId="6" applyNumberFormat="1" applyFont="1" applyFill="1" applyBorder="1"/>
    <xf numFmtId="43" fontId="7" fillId="0" borderId="13" xfId="4" applyFont="1" applyBorder="1"/>
    <xf numFmtId="43" fontId="7" fillId="0" borderId="14" xfId="4" applyFont="1" applyBorder="1"/>
    <xf numFmtId="10" fontId="7" fillId="0" borderId="14" xfId="3" applyNumberFormat="1" applyFont="1" applyFill="1" applyBorder="1"/>
    <xf numFmtId="3" fontId="7" fillId="0" borderId="14" xfId="2" applyNumberFormat="1" applyFont="1" applyFill="1" applyBorder="1"/>
    <xf numFmtId="0" fontId="42" fillId="0" borderId="14" xfId="2" applyFont="1" applyFill="1" applyBorder="1" applyAlignment="1">
      <alignment horizontal="left" indent="1"/>
    </xf>
    <xf numFmtId="0" fontId="7" fillId="0" borderId="15" xfId="2" applyFont="1" applyFill="1" applyBorder="1"/>
    <xf numFmtId="0" fontId="7" fillId="0" borderId="0" xfId="2" applyFont="1" applyFill="1"/>
    <xf numFmtId="43" fontId="7" fillId="0" borderId="16" xfId="6" applyNumberFormat="1" applyFont="1" applyFill="1" applyBorder="1"/>
    <xf numFmtId="7" fontId="7" fillId="0" borderId="13" xfId="4" applyNumberFormat="1" applyFont="1" applyBorder="1"/>
    <xf numFmtId="7" fontId="7" fillId="0" borderId="14" xfId="4" applyNumberFormat="1" applyFont="1" applyBorder="1"/>
    <xf numFmtId="10" fontId="7" fillId="0" borderId="17" xfId="3" applyNumberFormat="1" applyFont="1" applyFill="1" applyBorder="1"/>
    <xf numFmtId="3" fontId="7" fillId="0" borderId="17" xfId="2" applyNumberFormat="1" applyFont="1" applyFill="1" applyBorder="1"/>
    <xf numFmtId="0" fontId="42" fillId="0" borderId="17" xfId="2" applyFont="1" applyFill="1" applyBorder="1" applyAlignment="1">
      <alignment horizontal="left" indent="1"/>
    </xf>
    <xf numFmtId="0" fontId="7" fillId="0" borderId="18" xfId="2" applyFont="1" applyFill="1" applyBorder="1"/>
    <xf numFmtId="0" fontId="37" fillId="0" borderId="0" xfId="2" applyFont="1"/>
    <xf numFmtId="43" fontId="43" fillId="0" borderId="0" xfId="2" applyNumberFormat="1" applyFont="1" applyAlignment="1">
      <alignment horizontal="center" wrapText="1"/>
    </xf>
    <xf numFmtId="0" fontId="43" fillId="0" borderId="6" xfId="2" applyFont="1" applyBorder="1" applyAlignment="1">
      <alignment horizontal="center" wrapText="1"/>
    </xf>
    <xf numFmtId="10" fontId="43" fillId="0" borderId="0" xfId="2" applyNumberFormat="1" applyFont="1" applyAlignment="1">
      <alignment horizontal="center" wrapText="1"/>
    </xf>
    <xf numFmtId="0" fontId="43" fillId="0" borderId="0" xfId="2" applyFont="1" applyAlignment="1">
      <alignment horizontal="center" wrapText="1"/>
    </xf>
    <xf numFmtId="0" fontId="7" fillId="0" borderId="0" xfId="2" applyFont="1" applyAlignment="1">
      <alignment horizontal="center"/>
    </xf>
    <xf numFmtId="43" fontId="46" fillId="6" borderId="0" xfId="2" applyNumberFormat="1" applyFont="1" applyFill="1"/>
    <xf numFmtId="0" fontId="46" fillId="6" borderId="0" xfId="2" applyFont="1" applyFill="1"/>
    <xf numFmtId="10" fontId="46" fillId="6" borderId="0" xfId="2" applyNumberFormat="1" applyFont="1" applyFill="1"/>
    <xf numFmtId="0" fontId="47" fillId="0" borderId="0" xfId="8" applyFont="1"/>
    <xf numFmtId="0" fontId="1" fillId="0" borderId="0" xfId="8" applyFont="1"/>
    <xf numFmtId="0" fontId="1" fillId="0" borderId="0" xfId="8" applyFont="1" applyAlignment="1">
      <alignment horizontal="center"/>
    </xf>
    <xf numFmtId="0" fontId="11" fillId="7" borderId="19" xfId="8" applyFont="1" applyFill="1" applyBorder="1"/>
    <xf numFmtId="0" fontId="11" fillId="7" borderId="19" xfId="8" applyFont="1" applyFill="1" applyBorder="1" applyAlignment="1">
      <alignment horizontal="center"/>
    </xf>
    <xf numFmtId="0" fontId="11" fillId="7" borderId="20" xfId="8" applyFont="1" applyFill="1" applyBorder="1" applyAlignment="1">
      <alignment horizontal="center"/>
    </xf>
    <xf numFmtId="0" fontId="11" fillId="7" borderId="21" xfId="8" applyFont="1" applyFill="1" applyBorder="1" applyAlignment="1">
      <alignment horizontal="center"/>
    </xf>
    <xf numFmtId="0" fontId="1" fillId="0" borderId="19" xfId="8" applyFont="1" applyBorder="1"/>
    <xf numFmtId="169" fontId="1" fillId="0" borderId="19" xfId="8" applyNumberFormat="1" applyFont="1" applyBorder="1"/>
    <xf numFmtId="14" fontId="1" fillId="0" borderId="20" xfId="8" applyNumberFormat="1" applyFont="1" applyBorder="1" applyAlignment="1">
      <alignment horizontal="center"/>
    </xf>
    <xf numFmtId="169" fontId="1" fillId="0" borderId="21" xfId="8" applyNumberFormat="1" applyFont="1" applyBorder="1"/>
    <xf numFmtId="14" fontId="1" fillId="0" borderId="19" xfId="8" applyNumberFormat="1" applyFont="1" applyBorder="1" applyAlignment="1">
      <alignment horizontal="center"/>
    </xf>
    <xf numFmtId="0" fontId="1" fillId="0" borderId="19" xfId="8" applyFont="1" applyBorder="1" applyAlignment="1">
      <alignment horizontal="center"/>
    </xf>
    <xf numFmtId="169" fontId="11" fillId="7" borderId="19" xfId="8" applyNumberFormat="1" applyFont="1" applyFill="1" applyBorder="1"/>
    <xf numFmtId="14" fontId="11" fillId="7" borderId="20" xfId="8" applyNumberFormat="1" applyFont="1" applyFill="1" applyBorder="1" applyAlignment="1">
      <alignment horizontal="center"/>
    </xf>
    <xf numFmtId="169" fontId="11" fillId="7" borderId="21" xfId="8" applyNumberFormat="1" applyFont="1" applyFill="1" applyBorder="1"/>
    <xf numFmtId="14" fontId="11" fillId="7" borderId="19" xfId="8" applyNumberFormat="1" applyFont="1" applyFill="1" applyBorder="1" applyAlignment="1">
      <alignment horizontal="center"/>
    </xf>
    <xf numFmtId="0" fontId="1" fillId="0" borderId="0" xfId="8" applyFont="1" applyBorder="1"/>
    <xf numFmtId="169" fontId="1" fillId="0" borderId="0" xfId="8" applyNumberFormat="1" applyFont="1" applyBorder="1"/>
    <xf numFmtId="14" fontId="1" fillId="0" borderId="0" xfId="8" applyNumberFormat="1" applyFont="1" applyBorder="1" applyAlignment="1">
      <alignment horizontal="center"/>
    </xf>
    <xf numFmtId="169" fontId="1" fillId="0" borderId="0" xfId="8" applyNumberFormat="1" applyFont="1"/>
    <xf numFmtId="0" fontId="1" fillId="0" borderId="0" xfId="8" applyFont="1" applyAlignment="1">
      <alignment horizontal="left"/>
    </xf>
    <xf numFmtId="14" fontId="1" fillId="0" borderId="0" xfId="8" applyNumberFormat="1" applyFont="1"/>
    <xf numFmtId="0" fontId="44" fillId="0" borderId="0" xfId="7" applyFont="1" applyBorder="1" applyAlignment="1">
      <alignment horizontal="left" indent="4"/>
    </xf>
    <xf numFmtId="7" fontId="51" fillId="0" borderId="0" xfId="5" applyNumberFormat="1" applyFont="1" applyAlignment="1">
      <alignment horizontal="right"/>
    </xf>
    <xf numFmtId="0" fontId="48" fillId="0" borderId="0" xfId="2" applyFont="1"/>
    <xf numFmtId="43" fontId="48" fillId="0" borderId="0" xfId="2" applyNumberFormat="1" applyFont="1"/>
    <xf numFmtId="10" fontId="48" fillId="0" borderId="0" xfId="2" applyNumberFormat="1" applyFont="1"/>
    <xf numFmtId="167" fontId="48" fillId="0" borderId="0" xfId="9" applyNumberFormat="1" applyFont="1"/>
    <xf numFmtId="8" fontId="48" fillId="0" borderId="0" xfId="2" applyNumberFormat="1" applyFont="1"/>
    <xf numFmtId="0" fontId="50" fillId="0" borderId="0" xfId="2" applyFont="1" applyAlignment="1">
      <alignment horizontal="right"/>
    </xf>
    <xf numFmtId="14" fontId="48" fillId="0" borderId="0" xfId="2" applyNumberFormat="1" applyFont="1"/>
    <xf numFmtId="8" fontId="48" fillId="0" borderId="5" xfId="2" applyNumberFormat="1" applyFont="1" applyBorder="1"/>
    <xf numFmtId="168" fontId="48" fillId="0" borderId="0" xfId="2" applyNumberFormat="1" applyFont="1"/>
    <xf numFmtId="8" fontId="48" fillId="0" borderId="24" xfId="2" applyNumberFormat="1" applyFont="1" applyBorder="1"/>
    <xf numFmtId="43" fontId="48" fillId="0" borderId="0" xfId="10" applyFont="1"/>
    <xf numFmtId="8" fontId="48" fillId="0" borderId="6" xfId="2" applyNumberFormat="1" applyFont="1" applyBorder="1"/>
    <xf numFmtId="3" fontId="48" fillId="0" borderId="0" xfId="2" applyNumberFormat="1" applyFont="1"/>
    <xf numFmtId="0" fontId="49" fillId="0" borderId="0" xfId="2" applyFont="1" applyAlignment="1">
      <alignment horizontal="left"/>
    </xf>
    <xf numFmtId="8" fontId="48" fillId="0" borderId="25" xfId="2" applyNumberFormat="1" applyFont="1" applyBorder="1"/>
    <xf numFmtId="44" fontId="48" fillId="0" borderId="0" xfId="2" applyNumberFormat="1" applyFont="1"/>
    <xf numFmtId="7" fontId="48" fillId="0" borderId="0" xfId="2" applyNumberFormat="1" applyFont="1"/>
    <xf numFmtId="0" fontId="49" fillId="0" borderId="0" xfId="2" applyFont="1" applyAlignment="1">
      <alignment horizontal="left" indent="1"/>
    </xf>
    <xf numFmtId="43" fontId="48" fillId="0" borderId="26" xfId="2" applyNumberFormat="1" applyFont="1" applyBorder="1"/>
    <xf numFmtId="0" fontId="48" fillId="5" borderId="0" xfId="2" applyFont="1" applyFill="1"/>
    <xf numFmtId="9" fontId="48" fillId="6" borderId="0" xfId="2" applyNumberFormat="1" applyFont="1" applyFill="1"/>
    <xf numFmtId="43" fontId="45" fillId="0" borderId="0" xfId="11" applyNumberFormat="1" applyFont="1"/>
    <xf numFmtId="0" fontId="45" fillId="0" borderId="0" xfId="2" applyFont="1" applyAlignment="1">
      <alignment horizontal="right"/>
    </xf>
    <xf numFmtId="3" fontId="48" fillId="0" borderId="6" xfId="2" applyNumberFormat="1" applyFont="1" applyBorder="1"/>
    <xf numFmtId="7" fontId="48" fillId="0" borderId="5" xfId="11" applyNumberFormat="1" applyFont="1" applyBorder="1"/>
    <xf numFmtId="169" fontId="48" fillId="0" borderId="0" xfId="2" applyNumberFormat="1" applyFont="1"/>
    <xf numFmtId="0" fontId="52" fillId="0" borderId="0" xfId="2" applyFont="1"/>
    <xf numFmtId="43" fontId="48" fillId="0" borderId="0" xfId="11" applyNumberFormat="1" applyFont="1"/>
    <xf numFmtId="10" fontId="48" fillId="0" borderId="0" xfId="9" applyNumberFormat="1" applyFont="1"/>
    <xf numFmtId="43" fontId="48" fillId="0" borderId="9" xfId="11" applyNumberFormat="1" applyFont="1" applyBorder="1"/>
    <xf numFmtId="0" fontId="53" fillId="0" borderId="0" xfId="2" applyFont="1"/>
    <xf numFmtId="43" fontId="48" fillId="0" borderId="23" xfId="10" applyFont="1" applyFill="1" applyBorder="1"/>
    <xf numFmtId="43" fontId="48" fillId="0" borderId="10" xfId="10" applyFont="1" applyBorder="1"/>
    <xf numFmtId="10" fontId="48" fillId="0" borderId="10" xfId="9" applyNumberFormat="1" applyFont="1" applyBorder="1"/>
    <xf numFmtId="3" fontId="48" fillId="0" borderId="10" xfId="2" applyNumberFormat="1" applyFont="1" applyBorder="1"/>
    <xf numFmtId="0" fontId="49" fillId="0" borderId="10" xfId="2" applyFont="1" applyBorder="1" applyAlignment="1">
      <alignment horizontal="left" indent="1"/>
    </xf>
    <xf numFmtId="0" fontId="48" fillId="0" borderId="11" xfId="2" applyFont="1" applyBorder="1"/>
    <xf numFmtId="43" fontId="48" fillId="0" borderId="12" xfId="11" applyNumberFormat="1" applyFont="1" applyBorder="1"/>
    <xf numFmtId="3" fontId="54" fillId="0" borderId="0" xfId="7" applyNumberFormat="1" applyFont="1" applyBorder="1" applyAlignment="1"/>
    <xf numFmtId="0" fontId="54" fillId="0" borderId="7" xfId="7" applyFont="1" applyBorder="1" applyAlignment="1">
      <alignment horizontal="left" indent="4"/>
    </xf>
    <xf numFmtId="43" fontId="48" fillId="0" borderId="22" xfId="10" applyFont="1" applyFill="1" applyBorder="1"/>
    <xf numFmtId="43" fontId="48" fillId="0" borderId="13" xfId="10" applyFont="1" applyBorder="1"/>
    <xf numFmtId="43" fontId="48" fillId="0" borderId="14" xfId="10" applyFont="1" applyBorder="1"/>
    <xf numFmtId="10" fontId="48" fillId="0" borderId="14" xfId="9" applyNumberFormat="1" applyFont="1" applyBorder="1"/>
    <xf numFmtId="3" fontId="48" fillId="0" borderId="14" xfId="2" applyNumberFormat="1" applyFont="1" applyBorder="1"/>
    <xf numFmtId="0" fontId="49" fillId="0" borderId="14" xfId="2" applyFont="1" applyBorder="1" applyAlignment="1">
      <alignment horizontal="left" indent="1"/>
    </xf>
    <xf numFmtId="0" fontId="48" fillId="0" borderId="15" xfId="2" applyFont="1" applyBorder="1"/>
    <xf numFmtId="3" fontId="54" fillId="0" borderId="6" xfId="7" applyNumberFormat="1" applyFont="1" applyBorder="1" applyAlignment="1"/>
    <xf numFmtId="0" fontId="54" fillId="0" borderId="8" xfId="7" applyFont="1" applyBorder="1" applyAlignment="1">
      <alignment horizontal="left" indent="4"/>
    </xf>
    <xf numFmtId="43" fontId="48" fillId="0" borderId="22" xfId="10" applyFont="1" applyBorder="1"/>
    <xf numFmtId="7" fontId="48" fillId="0" borderId="14" xfId="10" applyNumberFormat="1" applyFont="1" applyBorder="1"/>
    <xf numFmtId="3" fontId="7" fillId="0" borderId="10" xfId="12" applyNumberFormat="1" applyBorder="1"/>
    <xf numFmtId="43" fontId="48" fillId="0" borderId="12" xfId="11" applyNumberFormat="1" applyFont="1" applyFill="1" applyBorder="1"/>
    <xf numFmtId="3" fontId="7" fillId="0" borderId="14" xfId="12" applyNumberFormat="1" applyBorder="1"/>
    <xf numFmtId="7" fontId="48" fillId="0" borderId="12" xfId="11" applyNumberFormat="1" applyFont="1" applyFill="1" applyBorder="1"/>
    <xf numFmtId="44" fontId="48" fillId="0" borderId="16" xfId="11" applyFont="1" applyBorder="1"/>
    <xf numFmtId="7" fontId="48" fillId="0" borderId="16" xfId="11" applyNumberFormat="1" applyFont="1" applyFill="1" applyBorder="1"/>
    <xf numFmtId="7" fontId="48" fillId="0" borderId="22" xfId="10" applyNumberFormat="1" applyFont="1" applyBorder="1"/>
    <xf numFmtId="7" fontId="48" fillId="0" borderId="13" xfId="10" applyNumberFormat="1" applyFont="1" applyBorder="1"/>
    <xf numFmtId="10" fontId="48" fillId="0" borderId="17" xfId="9" applyNumberFormat="1" applyFont="1" applyBorder="1"/>
    <xf numFmtId="3" fontId="7" fillId="0" borderId="17" xfId="12" applyNumberFormat="1" applyBorder="1"/>
    <xf numFmtId="0" fontId="49" fillId="0" borderId="17" xfId="2" applyFont="1" applyBorder="1" applyAlignment="1">
      <alignment horizontal="left" indent="1"/>
    </xf>
    <xf numFmtId="0" fontId="48" fillId="0" borderId="18" xfId="2" applyFont="1" applyBorder="1"/>
    <xf numFmtId="0" fontId="54" fillId="0" borderId="0" xfId="2" applyFont="1"/>
    <xf numFmtId="43" fontId="45" fillId="0" borderId="0" xfId="2" applyNumberFormat="1" applyFont="1" applyAlignment="1">
      <alignment horizontal="center" wrapText="1"/>
    </xf>
    <xf numFmtId="0" fontId="45" fillId="0" borderId="6" xfId="2" applyFont="1" applyBorder="1" applyAlignment="1">
      <alignment horizontal="center" wrapText="1"/>
    </xf>
    <xf numFmtId="10" fontId="45" fillId="0" borderId="0" xfId="2" applyNumberFormat="1" applyFont="1" applyAlignment="1">
      <alignment horizontal="center" wrapText="1"/>
    </xf>
    <xf numFmtId="0" fontId="45" fillId="0" borderId="0" xfId="2" applyFont="1" applyAlignment="1">
      <alignment horizontal="center" wrapText="1"/>
    </xf>
    <xf numFmtId="0" fontId="48" fillId="0" borderId="0" xfId="2" applyFont="1" applyAlignment="1">
      <alignment horizontal="center"/>
    </xf>
    <xf numFmtId="43" fontId="55" fillId="6" borderId="0" xfId="2" applyNumberFormat="1" applyFont="1" applyFill="1"/>
    <xf numFmtId="0" fontId="55" fillId="6" borderId="0" xfId="2" applyFont="1" applyFill="1"/>
    <xf numFmtId="10" fontId="55" fillId="6" borderId="0" xfId="2" applyNumberFormat="1" applyFont="1" applyFill="1"/>
    <xf numFmtId="43" fontId="48" fillId="0" borderId="27" xfId="11" applyNumberFormat="1" applyFont="1" applyBorder="1"/>
    <xf numFmtId="43" fontId="48" fillId="0" borderId="28" xfId="11" applyNumberFormat="1" applyFont="1" applyBorder="1"/>
    <xf numFmtId="43" fontId="48" fillId="0" borderId="29" xfId="2" applyNumberFormat="1" applyFont="1" applyBorder="1"/>
    <xf numFmtId="0" fontId="28" fillId="0" borderId="19" xfId="0" applyFont="1" applyBorder="1" applyAlignment="1">
      <alignment vertical="top"/>
    </xf>
    <xf numFmtId="166" fontId="28" fillId="0" borderId="19" xfId="0" applyNumberFormat="1" applyFont="1" applyBorder="1" applyAlignment="1">
      <alignment vertical="top"/>
    </xf>
    <xf numFmtId="0" fontId="28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166" fontId="0" fillId="0" borderId="19" xfId="0" applyNumberFormat="1" applyBorder="1" applyAlignment="1">
      <alignment vertical="top"/>
    </xf>
    <xf numFmtId="0" fontId="0" fillId="0" borderId="19" xfId="0" applyBorder="1" applyAlignment="1">
      <alignment vertical="top" wrapText="1"/>
    </xf>
    <xf numFmtId="0" fontId="28" fillId="0" borderId="20" xfId="0" applyFont="1" applyBorder="1" applyAlignment="1">
      <alignment vertical="top"/>
    </xf>
    <xf numFmtId="166" fontId="0" fillId="0" borderId="24" xfId="0" applyNumberFormat="1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19" xfId="0" applyBorder="1" applyAlignment="1">
      <alignment horizontal="right" vertical="top"/>
    </xf>
    <xf numFmtId="9" fontId="0" fillId="0" borderId="19" xfId="0" applyNumberFormat="1" applyBorder="1" applyAlignment="1">
      <alignment vertical="top" wrapText="1"/>
    </xf>
    <xf numFmtId="10" fontId="0" fillId="0" borderId="19" xfId="0" applyNumberForma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/>
    </xf>
    <xf numFmtId="166" fontId="0" fillId="0" borderId="19" xfId="0" applyNumberFormat="1" applyBorder="1" applyAlignment="1">
      <alignment vertical="top" wrapText="1"/>
    </xf>
    <xf numFmtId="166" fontId="28" fillId="0" borderId="19" xfId="0" applyNumberFormat="1" applyFont="1" applyBorder="1" applyAlignment="1">
      <alignment vertical="top" wrapText="1"/>
    </xf>
    <xf numFmtId="0" fontId="22" fillId="0" borderId="0" xfId="0" applyFont="1"/>
    <xf numFmtId="41" fontId="9" fillId="0" borderId="0" xfId="0" applyNumberFormat="1" applyFont="1" applyFill="1" applyBorder="1"/>
    <xf numFmtId="164" fontId="11" fillId="0" borderId="0" xfId="0" applyNumberFormat="1" applyFont="1" applyBorder="1"/>
    <xf numFmtId="49" fontId="11" fillId="0" borderId="0" xfId="0" applyNumberFormat="1" applyFont="1" applyBorder="1"/>
    <xf numFmtId="41" fontId="9" fillId="2" borderId="5" xfId="0" applyNumberFormat="1" applyFont="1" applyFill="1" applyBorder="1" applyAlignment="1">
      <alignment horizontal="right"/>
    </xf>
    <xf numFmtId="170" fontId="9" fillId="0" borderId="5" xfId="13" applyNumberFormat="1" applyFont="1" applyFill="1" applyBorder="1"/>
    <xf numFmtId="41" fontId="9" fillId="0" borderId="6" xfId="0" applyNumberFormat="1" applyFont="1" applyBorder="1"/>
    <xf numFmtId="170" fontId="9" fillId="0" borderId="0" xfId="13" applyNumberFormat="1" applyFont="1" applyFill="1" applyBorder="1"/>
    <xf numFmtId="167" fontId="9" fillId="0" borderId="0" xfId="14" applyNumberFormat="1" applyFont="1" applyFill="1" applyBorder="1"/>
    <xf numFmtId="41" fontId="9" fillId="0" borderId="6" xfId="0" applyNumberFormat="1" applyFont="1" applyFill="1" applyBorder="1"/>
    <xf numFmtId="41" fontId="9" fillId="0" borderId="5" xfId="0" applyNumberFormat="1" applyFont="1" applyFill="1" applyBorder="1" applyAlignment="1">
      <alignment horizontal="right"/>
    </xf>
    <xf numFmtId="41" fontId="11" fillId="8" borderId="0" xfId="0" applyNumberFormat="1" applyFont="1" applyFill="1" applyBorder="1" applyAlignment="1">
      <alignment horizontal="right"/>
    </xf>
    <xf numFmtId="15" fontId="11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Fill="1" applyAlignment="1">
      <alignment horizontal="left" wrapText="1"/>
    </xf>
    <xf numFmtId="0" fontId="45" fillId="0" borderId="0" xfId="2" applyFont="1" applyAlignment="1">
      <alignment horizontal="center"/>
    </xf>
    <xf numFmtId="0" fontId="48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29" fillId="0" borderId="0" xfId="0" applyFont="1" applyAlignment="1">
      <alignment horizontal="center"/>
    </xf>
  </cellXfs>
  <cellStyles count="15">
    <cellStyle name="Comma 2" xfId="4" xr:uid="{00000000-0005-0000-0000-000000000000}"/>
    <cellStyle name="Comma 3" xfId="10" xr:uid="{00000000-0005-0000-0000-000001000000}"/>
    <cellStyle name="Currency" xfId="13" builtinId="4"/>
    <cellStyle name="Currency 2" xfId="6" xr:uid="{00000000-0005-0000-0000-000003000000}"/>
    <cellStyle name="Currency 3" xfId="11" xr:uid="{00000000-0005-0000-0000-000004000000}"/>
    <cellStyle name="Normal" xfId="0" builtinId="0"/>
    <cellStyle name="Normal 2" xfId="1" xr:uid="{00000000-0005-0000-0000-000006000000}"/>
    <cellStyle name="Normal 2 2" xfId="7" xr:uid="{00000000-0005-0000-0000-000007000000}"/>
    <cellStyle name="Normal 3" xfId="2" xr:uid="{00000000-0005-0000-0000-000008000000}"/>
    <cellStyle name="Normal 3 2" xfId="12" xr:uid="{00000000-0005-0000-0000-000009000000}"/>
    <cellStyle name="Normal 4" xfId="8" xr:uid="{00000000-0005-0000-0000-00000A000000}"/>
    <cellStyle name="Normal_BUD 10-11_USE 2" xfId="5" xr:uid="{00000000-0005-0000-0000-00000B000000}"/>
    <cellStyle name="Percent" xfId="14" builtinId="5"/>
    <cellStyle name="Percent 2" xfId="3" xr:uid="{00000000-0005-0000-0000-00000D000000}"/>
    <cellStyle name="Percent 3" xfId="9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177800</xdr:colOff>
      <xdr:row>2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190500"/>
          <a:ext cx="93027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177800</xdr:colOff>
      <xdr:row>2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190500"/>
          <a:ext cx="93027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133350</xdr:colOff>
      <xdr:row>2</xdr:row>
      <xdr:rowOff>28575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858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133350</xdr:colOff>
      <xdr:row>2</xdr:row>
      <xdr:rowOff>28575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858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7"/>
  <sheetViews>
    <sheetView tabSelected="1" topLeftCell="A67" workbookViewId="0">
      <selection activeCell="T71" sqref="T71"/>
    </sheetView>
  </sheetViews>
  <sheetFormatPr defaultColWidth="8.85546875" defaultRowHeight="15" x14ac:dyDescent="0.25"/>
  <cols>
    <col min="1" max="1" width="1.42578125" style="1" customWidth="1"/>
    <col min="2" max="3" width="3.7109375" style="1" customWidth="1"/>
    <col min="4" max="4" width="1.28515625" style="1" customWidth="1"/>
    <col min="5" max="5" width="1.140625" style="1" customWidth="1"/>
    <col min="6" max="6" width="30.85546875" style="1" customWidth="1"/>
    <col min="7" max="7" width="11" style="3" customWidth="1"/>
    <col min="8" max="8" width="2" style="1" customWidth="1"/>
    <col min="9" max="9" width="9.7109375" style="128" bestFit="1" customWidth="1"/>
    <col min="10" max="10" width="1.42578125" customWidth="1"/>
    <col min="11" max="11" width="9.7109375" bestFit="1" customWidth="1"/>
    <col min="12" max="12" width="1.42578125" customWidth="1"/>
    <col min="13" max="13" width="12" hidden="1" customWidth="1"/>
    <col min="14" max="14" width="1.42578125" hidden="1" customWidth="1"/>
    <col min="15" max="15" width="10.28515625" style="13" bestFit="1" customWidth="1"/>
    <col min="16" max="16" width="1.7109375" customWidth="1"/>
    <col min="17" max="17" width="11.42578125" style="104" customWidth="1"/>
    <col min="18" max="18" width="3.42578125" style="6" customWidth="1"/>
    <col min="20" max="20" width="11.42578125" bestFit="1" customWidth="1"/>
  </cols>
  <sheetData>
    <row r="1" spans="1:20" ht="15" customHeight="1" x14ac:dyDescent="0.25">
      <c r="A1" s="16"/>
      <c r="B1" s="16"/>
      <c r="C1" s="16"/>
      <c r="D1" s="16"/>
      <c r="E1" s="16"/>
      <c r="F1" s="16"/>
      <c r="G1" s="17"/>
      <c r="H1" s="345"/>
      <c r="I1" s="346"/>
      <c r="J1" s="346"/>
      <c r="K1" s="346"/>
      <c r="Q1" s="102"/>
      <c r="R1" s="4"/>
    </row>
    <row r="2" spans="1:20" x14ac:dyDescent="0.25">
      <c r="A2" s="18"/>
      <c r="B2" s="18"/>
      <c r="C2" s="18"/>
      <c r="D2" s="18"/>
      <c r="E2" s="18"/>
      <c r="F2" s="18"/>
      <c r="G2" s="17"/>
      <c r="H2" s="19"/>
      <c r="I2" s="116"/>
      <c r="J2" s="20"/>
      <c r="K2" s="20"/>
      <c r="L2" s="20"/>
      <c r="M2" s="20"/>
      <c r="N2" s="20"/>
      <c r="O2" s="21"/>
      <c r="Q2" s="102"/>
      <c r="R2" s="4"/>
    </row>
    <row r="3" spans="1:20" s="2" customFormat="1" ht="46.5" thickBot="1" x14ac:dyDescent="0.3">
      <c r="A3" s="22"/>
      <c r="B3" s="22"/>
      <c r="C3" s="22"/>
      <c r="D3" s="22"/>
      <c r="E3" s="22"/>
      <c r="F3" s="22"/>
      <c r="G3" s="103" t="s">
        <v>117</v>
      </c>
      <c r="H3" s="115"/>
      <c r="I3" s="117" t="s">
        <v>118</v>
      </c>
      <c r="J3" s="23"/>
      <c r="K3" s="81" t="s">
        <v>119</v>
      </c>
      <c r="L3" s="23"/>
      <c r="M3" s="69" t="s">
        <v>0</v>
      </c>
      <c r="N3" s="23"/>
      <c r="O3" s="82" t="s">
        <v>120</v>
      </c>
      <c r="Q3" s="103" t="s">
        <v>121</v>
      </c>
      <c r="R3" s="5"/>
    </row>
    <row r="4" spans="1:20" x14ac:dyDescent="0.25">
      <c r="A4" s="18"/>
      <c r="B4" s="18"/>
      <c r="C4" s="18"/>
      <c r="D4" s="18"/>
      <c r="E4" s="18"/>
      <c r="F4" s="18"/>
      <c r="G4" s="17"/>
      <c r="H4" s="19"/>
      <c r="I4" s="118"/>
      <c r="J4" s="25"/>
      <c r="K4" s="24"/>
      <c r="L4" s="25"/>
      <c r="M4" s="24"/>
      <c r="N4" s="25"/>
      <c r="O4" s="26"/>
      <c r="T4" s="109"/>
    </row>
    <row r="5" spans="1:20" x14ac:dyDescent="0.25">
      <c r="A5" s="18"/>
      <c r="B5" s="18"/>
      <c r="C5" s="18" t="s">
        <v>39</v>
      </c>
      <c r="D5" s="18"/>
      <c r="E5" s="18"/>
      <c r="F5" s="18"/>
      <c r="G5" s="17"/>
      <c r="H5" s="19"/>
      <c r="I5" s="118"/>
      <c r="J5" s="25"/>
      <c r="K5" s="24"/>
      <c r="L5" s="25"/>
      <c r="M5" s="24"/>
      <c r="N5" s="25"/>
      <c r="O5" s="26"/>
    </row>
    <row r="6" spans="1:20" x14ac:dyDescent="0.25">
      <c r="A6" s="18"/>
      <c r="B6" s="18"/>
      <c r="C6" s="18"/>
      <c r="D6" s="18" t="s">
        <v>59</v>
      </c>
      <c r="E6" s="18"/>
      <c r="F6" s="18"/>
      <c r="G6" s="17"/>
      <c r="H6" s="19"/>
      <c r="I6" s="118"/>
      <c r="J6" s="25"/>
      <c r="K6" s="24"/>
      <c r="L6" s="25"/>
      <c r="M6" s="24"/>
      <c r="N6" s="25"/>
      <c r="O6" s="26"/>
    </row>
    <row r="7" spans="1:20" x14ac:dyDescent="0.25">
      <c r="A7" s="18"/>
      <c r="B7" s="18"/>
      <c r="C7" s="18"/>
      <c r="D7" s="18"/>
      <c r="E7" s="18" t="s">
        <v>60</v>
      </c>
      <c r="F7" s="18"/>
      <c r="G7" s="56">
        <v>6909</v>
      </c>
      <c r="H7" s="60"/>
      <c r="I7" s="119">
        <v>4860</v>
      </c>
      <c r="J7" s="61"/>
      <c r="K7" s="57">
        <v>5000</v>
      </c>
      <c r="L7" s="61"/>
      <c r="M7" s="59"/>
      <c r="N7" s="58"/>
      <c r="O7" s="114">
        <f>ROUND(IF(K7=0, IF(I7=0, 0, 1), I7/K7),5)</f>
        <v>0.97199999999999998</v>
      </c>
      <c r="Q7" s="99">
        <v>5000</v>
      </c>
      <c r="R7" s="55"/>
    </row>
    <row r="8" spans="1:20" x14ac:dyDescent="0.25">
      <c r="A8" s="18"/>
      <c r="B8" s="18"/>
      <c r="C8" s="18"/>
      <c r="D8" s="18" t="s">
        <v>61</v>
      </c>
      <c r="E8" s="18"/>
      <c r="F8" s="18"/>
      <c r="G8" s="65">
        <f>SUM(G7)</f>
        <v>6909</v>
      </c>
      <c r="H8" s="62"/>
      <c r="I8" s="120">
        <f>SUM(I7)</f>
        <v>4860</v>
      </c>
      <c r="J8" s="61"/>
      <c r="K8" s="65">
        <f>SUM(K7)</f>
        <v>5000</v>
      </c>
      <c r="L8" s="61"/>
      <c r="M8" s="63"/>
      <c r="N8" s="61"/>
      <c r="O8" s="64"/>
      <c r="Q8" s="105">
        <f>SUM(Q7)</f>
        <v>5000</v>
      </c>
      <c r="R8" s="55"/>
    </row>
    <row r="9" spans="1:20" x14ac:dyDescent="0.25">
      <c r="A9" s="18"/>
      <c r="B9" s="18"/>
      <c r="C9" s="18"/>
      <c r="D9" s="18"/>
      <c r="E9" s="18"/>
      <c r="F9" s="18"/>
      <c r="G9" s="17"/>
      <c r="H9" s="19"/>
      <c r="I9" s="118"/>
      <c r="J9" s="25"/>
      <c r="K9" s="24"/>
      <c r="L9" s="25"/>
      <c r="M9" s="24"/>
      <c r="N9" s="25"/>
      <c r="O9" s="26"/>
    </row>
    <row r="10" spans="1:20" x14ac:dyDescent="0.25">
      <c r="A10" s="18"/>
      <c r="B10" s="18"/>
      <c r="C10" s="18"/>
      <c r="D10" s="18" t="s">
        <v>1</v>
      </c>
      <c r="E10" s="18"/>
      <c r="F10" s="18"/>
      <c r="G10" s="27"/>
      <c r="H10" s="28"/>
      <c r="I10" s="121"/>
      <c r="J10" s="29"/>
      <c r="K10" s="29"/>
      <c r="L10" s="25"/>
      <c r="M10" s="24"/>
      <c r="N10" s="25"/>
      <c r="O10" s="26"/>
    </row>
    <row r="11" spans="1:20" s="98" customFormat="1" x14ac:dyDescent="0.25">
      <c r="A11" s="90"/>
      <c r="B11" s="90"/>
      <c r="C11" s="90"/>
      <c r="D11" s="90"/>
      <c r="E11" s="90" t="s">
        <v>122</v>
      </c>
      <c r="F11" s="90"/>
      <c r="G11" s="140">
        <v>0</v>
      </c>
      <c r="H11" s="141"/>
      <c r="I11" s="121">
        <v>0</v>
      </c>
      <c r="J11" s="142"/>
      <c r="K11" s="142">
        <v>0</v>
      </c>
      <c r="L11" s="143"/>
      <c r="M11" s="144"/>
      <c r="N11" s="143"/>
      <c r="O11" s="145"/>
      <c r="Q11" s="148">
        <v>190275</v>
      </c>
      <c r="R11" s="146" t="s">
        <v>147</v>
      </c>
    </row>
    <row r="12" spans="1:20" x14ac:dyDescent="0.25">
      <c r="A12" s="18"/>
      <c r="B12" s="18"/>
      <c r="C12" s="18"/>
      <c r="D12" s="18"/>
      <c r="E12" s="18" t="s">
        <v>2</v>
      </c>
      <c r="F12" s="18"/>
      <c r="G12" s="30">
        <v>237679</v>
      </c>
      <c r="H12" s="31"/>
      <c r="I12" s="122">
        <v>237404</v>
      </c>
      <c r="J12" s="52"/>
      <c r="K12" s="9">
        <v>246030</v>
      </c>
      <c r="L12" s="9"/>
      <c r="M12" s="9">
        <f>ROUND((I12-K12),5)</f>
        <v>-8626</v>
      </c>
      <c r="N12" s="9"/>
      <c r="O12" s="34">
        <f>ROUND(IF(K12=0, IF(I12=0, 0, 1), I12/K12),5)</f>
        <v>0.96494000000000002</v>
      </c>
      <c r="P12" s="8"/>
      <c r="Q12" s="86">
        <v>246030</v>
      </c>
      <c r="R12" s="7" t="s">
        <v>127</v>
      </c>
      <c r="S12" s="137"/>
      <c r="T12" s="150"/>
    </row>
    <row r="13" spans="1:20" x14ac:dyDescent="0.25">
      <c r="A13" s="18"/>
      <c r="B13" s="18"/>
      <c r="C13" s="18"/>
      <c r="D13" s="18"/>
      <c r="E13" s="18" t="s">
        <v>3</v>
      </c>
      <c r="F13" s="18"/>
      <c r="G13" s="30">
        <v>94089</v>
      </c>
      <c r="H13" s="31"/>
      <c r="I13" s="123">
        <v>100312</v>
      </c>
      <c r="J13" s="9"/>
      <c r="K13" s="9">
        <v>100312</v>
      </c>
      <c r="L13" s="32"/>
      <c r="M13" s="33">
        <f>ROUND((I13-K13),5)</f>
        <v>0</v>
      </c>
      <c r="N13" s="32"/>
      <c r="O13" s="34">
        <f>ROUND(IF(K13=0, IF(I13=0, 0, 1), I13/K13),5)</f>
        <v>1</v>
      </c>
      <c r="P13" s="8"/>
      <c r="Q13" s="86">
        <v>106201</v>
      </c>
      <c r="R13" s="7" t="s">
        <v>128</v>
      </c>
      <c r="S13" s="137"/>
    </row>
    <row r="14" spans="1:20" x14ac:dyDescent="0.25">
      <c r="A14" s="18"/>
      <c r="B14" s="18"/>
      <c r="C14" s="18"/>
      <c r="D14" s="18"/>
      <c r="E14" s="18" t="s">
        <v>56</v>
      </c>
      <c r="F14" s="18"/>
      <c r="G14" s="30">
        <v>27296</v>
      </c>
      <c r="H14" s="31"/>
      <c r="I14" s="123">
        <v>8684</v>
      </c>
      <c r="J14" s="83">
        <v>1</v>
      </c>
      <c r="K14" s="9">
        <v>60000</v>
      </c>
      <c r="L14" s="32"/>
      <c r="M14" s="33"/>
      <c r="N14" s="32"/>
      <c r="O14" s="34">
        <f>ROUND(IF(K14=0, IF(I14=0, 0, 1), I14/K14),5)</f>
        <v>0.14473</v>
      </c>
      <c r="P14" s="8"/>
      <c r="Q14" s="86">
        <v>60000</v>
      </c>
      <c r="R14" s="7" t="s">
        <v>129</v>
      </c>
    </row>
    <row r="15" spans="1:20" ht="15.75" thickBot="1" x14ac:dyDescent="0.3">
      <c r="A15" s="18"/>
      <c r="B15" s="18"/>
      <c r="C15" s="18"/>
      <c r="D15" s="18"/>
      <c r="E15" s="18" t="s">
        <v>64</v>
      </c>
      <c r="F15" s="18"/>
      <c r="G15" s="30"/>
      <c r="H15" s="31"/>
      <c r="I15" s="123">
        <v>0</v>
      </c>
      <c r="J15" s="9"/>
      <c r="K15" s="9">
        <v>5000</v>
      </c>
      <c r="L15" s="32"/>
      <c r="M15" s="33"/>
      <c r="N15" s="32"/>
      <c r="O15" s="34">
        <f>ROUND(IF(K15=0, IF(I15=0, 0, 1), I15/K15),5)</f>
        <v>0</v>
      </c>
      <c r="P15" s="8"/>
      <c r="Q15" s="86">
        <v>0</v>
      </c>
      <c r="R15" s="7"/>
    </row>
    <row r="16" spans="1:20" ht="15.75" thickBot="1" x14ac:dyDescent="0.3">
      <c r="A16" s="18"/>
      <c r="B16" s="18"/>
      <c r="C16" s="18"/>
      <c r="D16" s="18" t="s">
        <v>4</v>
      </c>
      <c r="E16" s="18"/>
      <c r="F16" s="18"/>
      <c r="G16" s="50">
        <f>SUM(G12:G15)</f>
        <v>359064</v>
      </c>
      <c r="H16" s="31"/>
      <c r="I16" s="124">
        <f>SUM(I12:I15)</f>
        <v>346400</v>
      </c>
      <c r="J16" s="9"/>
      <c r="K16" s="50">
        <f>SUM(K12:K15)</f>
        <v>411342</v>
      </c>
      <c r="L16" s="32"/>
      <c r="M16" s="36">
        <f>ROUND((I16-K16),5)</f>
        <v>-64942</v>
      </c>
      <c r="N16" s="32"/>
      <c r="O16" s="41">
        <f>ROUND(IF(K16=0, IF(I16=0, 0, 1), I16/K16),5)</f>
        <v>0.84211999999999998</v>
      </c>
      <c r="P16" s="8"/>
      <c r="Q16" s="100">
        <f>SUM(Q11:Q15)</f>
        <v>602506</v>
      </c>
      <c r="R16" s="7"/>
      <c r="S16" s="150"/>
    </row>
    <row r="17" spans="1:19" x14ac:dyDescent="0.25">
      <c r="A17" s="18"/>
      <c r="B17" s="18"/>
      <c r="C17" s="18"/>
      <c r="D17" s="18"/>
      <c r="E17" s="18"/>
      <c r="F17" s="18"/>
      <c r="G17" s="30"/>
      <c r="H17" s="31"/>
      <c r="I17" s="123"/>
      <c r="J17" s="9"/>
      <c r="K17" s="9"/>
      <c r="L17" s="32"/>
      <c r="M17" s="33"/>
      <c r="N17" s="32"/>
      <c r="O17" s="34"/>
      <c r="P17" s="8"/>
      <c r="Q17" s="86"/>
      <c r="R17" s="7"/>
    </row>
    <row r="18" spans="1:19" ht="15.75" thickBot="1" x14ac:dyDescent="0.3">
      <c r="A18" s="18"/>
      <c r="B18" s="18"/>
      <c r="C18" s="18"/>
      <c r="D18" s="18" t="s">
        <v>47</v>
      </c>
      <c r="E18" s="18"/>
      <c r="F18" s="18"/>
      <c r="G18" s="35">
        <v>0</v>
      </c>
      <c r="H18" s="31"/>
      <c r="I18" s="125">
        <v>0</v>
      </c>
      <c r="J18" s="9"/>
      <c r="K18" s="10">
        <v>0</v>
      </c>
      <c r="L18" s="32"/>
      <c r="M18" s="33"/>
      <c r="N18" s="32"/>
      <c r="O18" s="38">
        <f>ROUND(IF(K18=0, IF(I18=0, 0, 1), I18/K18),5)</f>
        <v>0</v>
      </c>
      <c r="P18" s="8"/>
      <c r="Q18" s="87">
        <v>0</v>
      </c>
      <c r="R18" s="7"/>
    </row>
    <row r="19" spans="1:19" ht="6" customHeight="1" x14ac:dyDescent="0.25">
      <c r="A19" s="18"/>
      <c r="B19" s="18"/>
      <c r="C19" s="18"/>
      <c r="D19" s="18"/>
      <c r="E19" s="18"/>
      <c r="F19" s="18"/>
      <c r="G19" s="30"/>
      <c r="H19" s="31"/>
      <c r="I19" s="123"/>
      <c r="J19" s="9"/>
      <c r="K19" s="9"/>
      <c r="L19" s="32"/>
      <c r="M19" s="33"/>
      <c r="N19" s="32"/>
      <c r="O19" s="34"/>
      <c r="P19" s="8"/>
      <c r="Q19" s="86"/>
      <c r="R19" s="7"/>
    </row>
    <row r="20" spans="1:19" ht="30" customHeight="1" x14ac:dyDescent="0.25">
      <c r="A20" s="18"/>
      <c r="B20" s="18"/>
      <c r="C20" s="18" t="s">
        <v>40</v>
      </c>
      <c r="D20" s="18"/>
      <c r="E20" s="18"/>
      <c r="F20" s="18"/>
      <c r="G20" s="30">
        <f>G8+G16+G18</f>
        <v>365973</v>
      </c>
      <c r="H20" s="31"/>
      <c r="I20" s="126">
        <f>I8+I16+I18</f>
        <v>351260</v>
      </c>
      <c r="J20" s="9"/>
      <c r="K20" s="30">
        <f>K8+K16+K18</f>
        <v>416342</v>
      </c>
      <c r="L20" s="32"/>
      <c r="M20" s="33">
        <f>ROUND((I20-K20),5)</f>
        <v>-65082</v>
      </c>
      <c r="N20" s="32"/>
      <c r="O20" s="34">
        <f>ROUND(IF(K20=0, IF(I20=0, 0, 1), I20/K20),5)</f>
        <v>0.84367999999999999</v>
      </c>
      <c r="P20" s="8"/>
      <c r="Q20" s="91">
        <f>Q8+Q16+Q18</f>
        <v>607506</v>
      </c>
      <c r="R20" s="7"/>
    </row>
    <row r="21" spans="1:19" ht="30" customHeight="1" x14ac:dyDescent="0.25">
      <c r="A21" s="18"/>
      <c r="B21" s="18"/>
      <c r="C21" s="18" t="s">
        <v>41</v>
      </c>
      <c r="D21" s="18"/>
      <c r="E21" s="18"/>
      <c r="F21" s="18"/>
      <c r="G21" s="30"/>
      <c r="H21" s="31"/>
      <c r="I21" s="122"/>
      <c r="J21" s="9"/>
      <c r="K21" s="9"/>
      <c r="L21" s="32"/>
      <c r="M21" s="33"/>
      <c r="N21" s="32"/>
      <c r="O21" s="34"/>
      <c r="P21" s="8"/>
      <c r="Q21" s="86"/>
      <c r="R21" s="7"/>
    </row>
    <row r="22" spans="1:19" x14ac:dyDescent="0.25">
      <c r="A22" s="18"/>
      <c r="B22" s="18"/>
      <c r="C22" s="18"/>
      <c r="D22" s="18" t="s">
        <v>5</v>
      </c>
      <c r="E22" s="18"/>
      <c r="F22" s="18"/>
      <c r="G22" s="30"/>
      <c r="H22" s="31"/>
      <c r="I22" s="122"/>
      <c r="J22" s="9"/>
      <c r="K22" s="9"/>
      <c r="L22" s="32"/>
      <c r="M22" s="33"/>
      <c r="N22" s="32"/>
      <c r="O22" s="34"/>
      <c r="P22" s="8"/>
      <c r="Q22" s="86"/>
      <c r="R22" s="7"/>
    </row>
    <row r="23" spans="1:19" s="98" customFormat="1" x14ac:dyDescent="0.25">
      <c r="A23" s="90"/>
      <c r="B23" s="90"/>
      <c r="C23" s="90"/>
      <c r="D23" s="90"/>
      <c r="E23" s="90" t="s">
        <v>123</v>
      </c>
      <c r="F23" s="90"/>
      <c r="G23" s="91">
        <v>0</v>
      </c>
      <c r="H23" s="92"/>
      <c r="I23" s="122">
        <v>0</v>
      </c>
      <c r="J23" s="86"/>
      <c r="K23" s="86">
        <v>0</v>
      </c>
      <c r="L23" s="93"/>
      <c r="M23" s="94"/>
      <c r="N23" s="93"/>
      <c r="O23" s="95"/>
      <c r="P23" s="96"/>
      <c r="Q23" s="148">
        <f>153603-20000</f>
        <v>133603</v>
      </c>
      <c r="R23" s="97" t="s">
        <v>149</v>
      </c>
      <c r="S23" s="139"/>
    </row>
    <row r="24" spans="1:19" x14ac:dyDescent="0.25">
      <c r="A24" s="18"/>
      <c r="B24" s="18"/>
      <c r="C24" s="18"/>
      <c r="D24" s="18"/>
      <c r="E24" s="18" t="s">
        <v>6</v>
      </c>
      <c r="F24" s="18"/>
      <c r="G24" s="30">
        <v>94089</v>
      </c>
      <c r="H24" s="31"/>
      <c r="I24" s="123">
        <v>100312</v>
      </c>
      <c r="J24" s="9"/>
      <c r="K24" s="9">
        <v>95000</v>
      </c>
      <c r="L24" s="32"/>
      <c r="M24" s="33">
        <f>ROUND((I24-K24),5)</f>
        <v>5312</v>
      </c>
      <c r="N24" s="32"/>
      <c r="O24" s="34">
        <f>ROUND(IF(K24=0, IF(I24=0, 0, 1), I24/K24),5)</f>
        <v>1.05592</v>
      </c>
      <c r="P24" s="8"/>
      <c r="Q24" s="86">
        <v>106201</v>
      </c>
      <c r="R24" s="7" t="s">
        <v>128</v>
      </c>
    </row>
    <row r="25" spans="1:19" x14ac:dyDescent="0.25">
      <c r="A25" s="18"/>
      <c r="B25" s="18"/>
      <c r="C25" s="18"/>
      <c r="D25" s="18"/>
      <c r="E25" s="18" t="s">
        <v>57</v>
      </c>
      <c r="F25" s="18"/>
      <c r="G25" s="30">
        <f>39607+850</f>
        <v>40457</v>
      </c>
      <c r="H25" s="31"/>
      <c r="I25" s="122">
        <v>5280</v>
      </c>
      <c r="J25" s="9"/>
      <c r="K25" s="9">
        <v>50000</v>
      </c>
      <c r="L25" s="32"/>
      <c r="M25" s="33"/>
      <c r="N25" s="32"/>
      <c r="O25" s="34">
        <f>ROUND(IF(K25=0, IF(I25=0, 0, 1), I25/K25),5)</f>
        <v>0.1056</v>
      </c>
      <c r="P25" s="8"/>
      <c r="Q25" s="86">
        <v>52000</v>
      </c>
      <c r="R25" s="7" t="s">
        <v>129</v>
      </c>
      <c r="S25" s="137"/>
    </row>
    <row r="26" spans="1:19" hidden="1" x14ac:dyDescent="0.25">
      <c r="A26" s="18"/>
      <c r="B26" s="18"/>
      <c r="C26" s="18"/>
      <c r="D26" s="18"/>
      <c r="E26" s="18" t="s">
        <v>62</v>
      </c>
      <c r="F26" s="18"/>
      <c r="G26" s="30"/>
      <c r="H26" s="31"/>
      <c r="I26" s="123">
        <v>0</v>
      </c>
      <c r="J26" s="9"/>
      <c r="K26" s="9">
        <v>0</v>
      </c>
      <c r="L26" s="32"/>
      <c r="M26" s="33"/>
      <c r="N26" s="32"/>
      <c r="O26" s="34"/>
      <c r="P26" s="8"/>
      <c r="Q26" s="86"/>
      <c r="R26" s="7"/>
    </row>
    <row r="27" spans="1:19" ht="15.75" thickBot="1" x14ac:dyDescent="0.3">
      <c r="A27" s="18"/>
      <c r="B27" s="18"/>
      <c r="C27" s="18"/>
      <c r="D27" s="18" t="s">
        <v>48</v>
      </c>
      <c r="E27" s="18"/>
      <c r="F27" s="18"/>
      <c r="G27" s="35"/>
      <c r="H27" s="31"/>
      <c r="I27" s="125"/>
      <c r="J27" s="9"/>
      <c r="K27" s="10"/>
      <c r="L27" s="32"/>
      <c r="M27" s="33"/>
      <c r="N27" s="32"/>
      <c r="O27" s="38"/>
      <c r="P27" s="8"/>
      <c r="Q27" s="87"/>
      <c r="R27" s="7"/>
    </row>
    <row r="28" spans="1:19" x14ac:dyDescent="0.25">
      <c r="A28" s="18"/>
      <c r="B28" s="18"/>
      <c r="C28" s="18"/>
      <c r="D28" s="18" t="s">
        <v>7</v>
      </c>
      <c r="E28" s="18"/>
      <c r="F28" s="18"/>
      <c r="G28" s="30">
        <f>SUM(G24:G27)</f>
        <v>134546</v>
      </c>
      <c r="H28" s="31"/>
      <c r="I28" s="126">
        <f>SUM(I24:I27)</f>
        <v>105592</v>
      </c>
      <c r="J28" s="9"/>
      <c r="K28" s="30">
        <f>SUM(K24:K27)</f>
        <v>145000</v>
      </c>
      <c r="L28" s="32"/>
      <c r="M28" s="33">
        <f>ROUND((I28-K28),5)</f>
        <v>-39408</v>
      </c>
      <c r="N28" s="32"/>
      <c r="O28" s="34">
        <f>ROUND(IF(K28=0, IF(I28=0, 0, 1), I28/K28),5)</f>
        <v>0.72821999999999998</v>
      </c>
      <c r="P28" s="8"/>
      <c r="Q28" s="91">
        <f>SUM(Q23:Q27)</f>
        <v>291804</v>
      </c>
      <c r="R28" s="7"/>
    </row>
    <row r="29" spans="1:19" ht="30" customHeight="1" x14ac:dyDescent="0.25">
      <c r="A29" s="18"/>
      <c r="B29" s="18"/>
      <c r="C29" s="18"/>
      <c r="D29" s="18" t="s">
        <v>8</v>
      </c>
      <c r="E29" s="18"/>
      <c r="F29" s="18"/>
      <c r="G29" s="30"/>
      <c r="H29" s="31"/>
      <c r="I29" s="122"/>
      <c r="J29" s="9"/>
      <c r="K29" s="9"/>
      <c r="L29" s="32"/>
      <c r="M29" s="33"/>
      <c r="N29" s="32"/>
      <c r="O29" s="34"/>
      <c r="P29" s="8"/>
      <c r="Q29" s="86"/>
      <c r="R29" s="7"/>
    </row>
    <row r="30" spans="1:19" x14ac:dyDescent="0.25">
      <c r="A30" s="18"/>
      <c r="B30" s="18"/>
      <c r="C30" s="18"/>
      <c r="D30" s="18"/>
      <c r="E30" s="18" t="s">
        <v>49</v>
      </c>
      <c r="F30" s="18"/>
      <c r="G30" s="30">
        <v>0</v>
      </c>
      <c r="H30" s="31"/>
      <c r="I30" s="122"/>
      <c r="J30" s="9"/>
      <c r="K30" s="9"/>
      <c r="L30" s="32"/>
      <c r="M30" s="33"/>
      <c r="N30" s="32"/>
      <c r="O30" s="34"/>
      <c r="P30" s="8"/>
      <c r="Q30" s="86"/>
      <c r="R30" s="7"/>
    </row>
    <row r="31" spans="1:19" ht="15.75" thickBot="1" x14ac:dyDescent="0.3">
      <c r="A31" s="18"/>
      <c r="B31" s="18"/>
      <c r="C31" s="18"/>
      <c r="D31" s="18"/>
      <c r="E31" s="18"/>
      <c r="F31" s="18" t="s">
        <v>50</v>
      </c>
      <c r="G31" s="35">
        <v>120000</v>
      </c>
      <c r="H31" s="31"/>
      <c r="I31" s="125">
        <v>107500</v>
      </c>
      <c r="J31" s="9"/>
      <c r="K31" s="10">
        <v>129000</v>
      </c>
      <c r="L31" s="32"/>
      <c r="M31" s="37">
        <f t="shared" ref="M31:M32" si="0">ROUND((I31-K31),5)</f>
        <v>-21500</v>
      </c>
      <c r="N31" s="32"/>
      <c r="O31" s="38">
        <f t="shared" ref="O31:O37" si="1">ROUND(IF(K31=0, IF(I31=0, 0, 1), I31/K31),5)</f>
        <v>0.83333000000000002</v>
      </c>
      <c r="P31" s="8"/>
      <c r="Q31" s="87">
        <v>129000</v>
      </c>
    </row>
    <row r="32" spans="1:19" x14ac:dyDescent="0.25">
      <c r="A32" s="18"/>
      <c r="B32" s="18"/>
      <c r="C32" s="18"/>
      <c r="D32" s="18"/>
      <c r="E32" s="18" t="s">
        <v>51</v>
      </c>
      <c r="F32" s="18"/>
      <c r="G32" s="30">
        <f>SUM(G30:G31)</f>
        <v>120000</v>
      </c>
      <c r="H32" s="31"/>
      <c r="I32" s="122">
        <f>ROUND(SUM(I30:I31),5)</f>
        <v>107500</v>
      </c>
      <c r="J32" s="9"/>
      <c r="K32" s="9">
        <f>ROUND(SUM(K30:K31),5)</f>
        <v>129000</v>
      </c>
      <c r="L32" s="32"/>
      <c r="M32" s="33">
        <f t="shared" si="0"/>
        <v>-21500</v>
      </c>
      <c r="N32" s="32"/>
      <c r="O32" s="34">
        <f t="shared" si="1"/>
        <v>0.83333000000000002</v>
      </c>
      <c r="P32" s="8"/>
      <c r="Q32" s="86">
        <f>ROUND(SUM(Q30:Q31),5)</f>
        <v>129000</v>
      </c>
      <c r="R32" s="7" t="s">
        <v>130</v>
      </c>
    </row>
    <row r="33" spans="1:20" ht="15" customHeight="1" x14ac:dyDescent="0.25">
      <c r="A33" s="18"/>
      <c r="B33" s="18"/>
      <c r="C33" s="18"/>
      <c r="D33" s="18"/>
      <c r="E33" s="18" t="s">
        <v>65</v>
      </c>
      <c r="F33" s="18"/>
      <c r="G33" s="30">
        <v>0</v>
      </c>
      <c r="H33" s="31"/>
      <c r="I33" s="122">
        <v>14750</v>
      </c>
      <c r="J33" s="9"/>
      <c r="K33" s="9">
        <v>20000</v>
      </c>
      <c r="L33" s="32"/>
      <c r="M33" s="33"/>
      <c r="N33" s="32"/>
      <c r="O33" s="34">
        <f t="shared" si="1"/>
        <v>0.73750000000000004</v>
      </c>
      <c r="P33" s="8"/>
      <c r="Q33" s="147">
        <f>19000+6000</f>
        <v>25000</v>
      </c>
      <c r="R33" s="7" t="s">
        <v>131</v>
      </c>
      <c r="S33" s="137"/>
    </row>
    <row r="34" spans="1:20" s="98" customFormat="1" ht="15" customHeight="1" x14ac:dyDescent="0.25">
      <c r="A34" s="90"/>
      <c r="B34" s="90"/>
      <c r="C34" s="90"/>
      <c r="D34" s="90"/>
      <c r="E34" s="90" t="s">
        <v>66</v>
      </c>
      <c r="F34" s="90"/>
      <c r="G34" s="91">
        <v>0</v>
      </c>
      <c r="H34" s="92"/>
      <c r="I34" s="122">
        <v>0</v>
      </c>
      <c r="J34" s="86"/>
      <c r="K34" s="86">
        <v>20000</v>
      </c>
      <c r="L34" s="93"/>
      <c r="M34" s="94"/>
      <c r="N34" s="93"/>
      <c r="O34" s="95">
        <f t="shared" si="1"/>
        <v>0</v>
      </c>
      <c r="P34" s="96"/>
      <c r="Q34" s="148">
        <v>20000</v>
      </c>
      <c r="R34" s="97" t="s">
        <v>132</v>
      </c>
      <c r="S34" s="138"/>
    </row>
    <row r="35" spans="1:20" ht="15" customHeight="1" x14ac:dyDescent="0.25">
      <c r="A35" s="18"/>
      <c r="B35" s="18"/>
      <c r="C35" s="18"/>
      <c r="D35" s="18"/>
      <c r="E35" s="18" t="s">
        <v>54</v>
      </c>
      <c r="F35" s="18"/>
      <c r="G35" s="30">
        <v>20200</v>
      </c>
      <c r="H35" s="31"/>
      <c r="I35" s="122">
        <v>22300</v>
      </c>
      <c r="J35" s="9"/>
      <c r="K35" s="9">
        <v>13200</v>
      </c>
      <c r="L35" s="32"/>
      <c r="M35" s="33"/>
      <c r="N35" s="32"/>
      <c r="O35" s="34">
        <f t="shared" si="1"/>
        <v>1.6893899999999999</v>
      </c>
      <c r="P35" s="8"/>
      <c r="Q35" s="147">
        <v>18000</v>
      </c>
      <c r="R35" s="7" t="s">
        <v>125</v>
      </c>
    </row>
    <row r="36" spans="1:20" ht="15" customHeight="1" x14ac:dyDescent="0.25">
      <c r="A36" s="18"/>
      <c r="B36" s="18"/>
      <c r="C36" s="18"/>
      <c r="D36" s="18"/>
      <c r="E36" s="18" t="s">
        <v>9</v>
      </c>
      <c r="F36" s="18"/>
      <c r="G36" s="30">
        <v>6904</v>
      </c>
      <c r="H36" s="31"/>
      <c r="I36" s="122">
        <v>23105</v>
      </c>
      <c r="J36" s="9"/>
      <c r="K36" s="9">
        <v>15000</v>
      </c>
      <c r="L36" s="32"/>
      <c r="M36" s="33">
        <f>ROUND((I39-K36),5)</f>
        <v>-14908</v>
      </c>
      <c r="N36" s="32"/>
      <c r="O36" s="34">
        <f t="shared" si="1"/>
        <v>1.54033</v>
      </c>
      <c r="P36" s="8"/>
      <c r="Q36" s="147">
        <v>20000</v>
      </c>
      <c r="R36" s="7" t="s">
        <v>110</v>
      </c>
    </row>
    <row r="37" spans="1:20" x14ac:dyDescent="0.25">
      <c r="A37" s="18"/>
      <c r="B37" s="18"/>
      <c r="C37" s="18"/>
      <c r="D37" s="18"/>
      <c r="E37" s="18" t="s">
        <v>10</v>
      </c>
      <c r="F37" s="18"/>
      <c r="G37" s="30">
        <v>7475</v>
      </c>
      <c r="H37" s="31"/>
      <c r="I37" s="122">
        <v>6780</v>
      </c>
      <c r="J37" s="9"/>
      <c r="K37" s="9">
        <v>8000</v>
      </c>
      <c r="L37" s="32"/>
      <c r="M37" s="33">
        <f>ROUND((I40-K37),5)</f>
        <v>-542</v>
      </c>
      <c r="N37" s="32"/>
      <c r="O37" s="34">
        <f t="shared" si="1"/>
        <v>0.84750000000000003</v>
      </c>
      <c r="P37" s="8"/>
      <c r="Q37" s="86">
        <v>8000</v>
      </c>
      <c r="R37" s="7"/>
    </row>
    <row r="38" spans="1:20" x14ac:dyDescent="0.25">
      <c r="A38" s="18"/>
      <c r="B38" s="18"/>
      <c r="C38" s="18"/>
      <c r="D38" s="18"/>
      <c r="E38" s="18" t="s">
        <v>11</v>
      </c>
      <c r="F38" s="18"/>
      <c r="G38" s="30">
        <v>1250</v>
      </c>
      <c r="H38" s="31"/>
      <c r="I38" s="122">
        <v>8750</v>
      </c>
      <c r="J38" s="9"/>
      <c r="K38" s="9">
        <v>0</v>
      </c>
      <c r="L38" s="32"/>
      <c r="M38" s="33">
        <f>ROUND((I41-K38),5)</f>
        <v>27530</v>
      </c>
      <c r="N38" s="32"/>
      <c r="O38" s="34">
        <f t="shared" ref="O38:O41" si="2">ROUND(IF(K38=0, IF(I38=0, 0, 1), I38/K38),5)</f>
        <v>1</v>
      </c>
      <c r="P38" s="8"/>
      <c r="Q38" s="86">
        <v>0</v>
      </c>
      <c r="R38" s="7"/>
    </row>
    <row r="39" spans="1:20" x14ac:dyDescent="0.25">
      <c r="A39" s="18"/>
      <c r="B39" s="18"/>
      <c r="C39" s="18"/>
      <c r="D39" s="18"/>
      <c r="E39" s="18" t="s">
        <v>55</v>
      </c>
      <c r="F39" s="18"/>
      <c r="G39" s="30">
        <v>306</v>
      </c>
      <c r="H39" s="31"/>
      <c r="I39" s="122">
        <v>92</v>
      </c>
      <c r="J39" s="9"/>
      <c r="K39" s="9">
        <v>316</v>
      </c>
      <c r="L39" s="32"/>
      <c r="M39" s="33"/>
      <c r="N39" s="32"/>
      <c r="O39" s="34">
        <f>ROUND(IF(K39=0, IF(I39=0, 0, 1), I39/K39),5)</f>
        <v>0.29114000000000001</v>
      </c>
      <c r="P39" s="8"/>
      <c r="Q39" s="86">
        <v>316</v>
      </c>
      <c r="R39" s="7"/>
    </row>
    <row r="40" spans="1:20" x14ac:dyDescent="0.25">
      <c r="A40" s="18"/>
      <c r="B40" s="18"/>
      <c r="C40" s="18"/>
      <c r="D40" s="18"/>
      <c r="E40" s="18" t="s">
        <v>12</v>
      </c>
      <c r="F40" s="18"/>
      <c r="G40" s="30">
        <v>7210</v>
      </c>
      <c r="H40" s="31"/>
      <c r="I40" s="123">
        <v>7458</v>
      </c>
      <c r="J40" s="9"/>
      <c r="K40" s="9">
        <v>7200</v>
      </c>
      <c r="L40" s="32"/>
      <c r="M40" s="33">
        <f>ROUND((I43-K40),5)</f>
        <v>216815</v>
      </c>
      <c r="N40" s="32"/>
      <c r="O40" s="34">
        <f t="shared" si="2"/>
        <v>1.03583</v>
      </c>
      <c r="P40" s="8"/>
      <c r="Q40" s="86">
        <v>7650</v>
      </c>
      <c r="R40" s="7"/>
    </row>
    <row r="41" spans="1:20" x14ac:dyDescent="0.25">
      <c r="A41" s="18"/>
      <c r="B41" s="18"/>
      <c r="C41" s="18"/>
      <c r="D41" s="18"/>
      <c r="E41" s="18" t="s">
        <v>146</v>
      </c>
      <c r="F41" s="18"/>
      <c r="G41" s="30">
        <v>22500</v>
      </c>
      <c r="H41" s="31"/>
      <c r="I41" s="123">
        <v>27530</v>
      </c>
      <c r="J41" s="9"/>
      <c r="K41" s="9">
        <v>30000</v>
      </c>
      <c r="L41" s="32"/>
      <c r="M41" s="33" t="e">
        <f>ROUND((#REF!-K41),5)</f>
        <v>#REF!</v>
      </c>
      <c r="N41" s="32"/>
      <c r="O41" s="34">
        <f t="shared" si="2"/>
        <v>0.91766999999999999</v>
      </c>
      <c r="P41" s="8"/>
      <c r="Q41" s="147">
        <f>2500*12</f>
        <v>30000</v>
      </c>
      <c r="R41" s="7" t="s">
        <v>133</v>
      </c>
      <c r="S41" s="137"/>
    </row>
    <row r="42" spans="1:20" ht="15.75" thickBot="1" x14ac:dyDescent="0.3">
      <c r="A42" s="18"/>
      <c r="B42" s="18"/>
      <c r="C42" s="18"/>
      <c r="D42" s="18"/>
      <c r="E42" s="18" t="s">
        <v>63</v>
      </c>
      <c r="F42" s="18"/>
      <c r="G42" s="35">
        <v>17750</v>
      </c>
      <c r="H42" s="31"/>
      <c r="I42" s="125">
        <v>5750</v>
      </c>
      <c r="J42" s="9"/>
      <c r="K42" s="10">
        <v>17500</v>
      </c>
      <c r="L42" s="32"/>
      <c r="M42" s="37" t="e">
        <f>ROUND((#REF!-K42),5)</f>
        <v>#REF!</v>
      </c>
      <c r="N42" s="32"/>
      <c r="O42" s="38">
        <f>ROUND(IF(K42=0, IF(K42=0, 0, 1),I42/ K42),5)</f>
        <v>0.32856999999999997</v>
      </c>
      <c r="P42" s="8"/>
      <c r="Q42" s="87">
        <v>30000</v>
      </c>
      <c r="R42" s="7" t="s">
        <v>126</v>
      </c>
    </row>
    <row r="43" spans="1:20" x14ac:dyDescent="0.25">
      <c r="A43" s="18"/>
      <c r="B43" s="18"/>
      <c r="C43" s="18"/>
      <c r="D43" s="18" t="s">
        <v>13</v>
      </c>
      <c r="E43" s="18"/>
      <c r="F43" s="18"/>
      <c r="G43" s="30">
        <f>SUM(G32:G42)</f>
        <v>203595</v>
      </c>
      <c r="H43" s="31"/>
      <c r="I43" s="122">
        <f>ROUND(I29+SUM(I32:I42),5)</f>
        <v>224015</v>
      </c>
      <c r="J43" s="9"/>
      <c r="K43" s="9">
        <f>ROUND(K29+SUM(K32:K42),5)</f>
        <v>260216</v>
      </c>
      <c r="L43" s="32"/>
      <c r="M43" s="33" t="e">
        <f>ROUND((#REF!-K43),5)</f>
        <v>#REF!</v>
      </c>
      <c r="N43" s="32"/>
      <c r="O43" s="34">
        <f>ROUND(IF(K43=0, IF(K43=0, 0, 1),I43/ K43),5)</f>
        <v>0.86087999999999998</v>
      </c>
      <c r="P43" s="8"/>
      <c r="Q43" s="91">
        <f>SUM(Q32:Q42)</f>
        <v>287966</v>
      </c>
      <c r="R43" s="7"/>
      <c r="T43" s="136"/>
    </row>
    <row r="44" spans="1:20" ht="30" customHeight="1" x14ac:dyDescent="0.25">
      <c r="A44" s="18"/>
      <c r="B44" s="18"/>
      <c r="C44" s="18"/>
      <c r="D44" s="18" t="s">
        <v>14</v>
      </c>
      <c r="E44" s="18"/>
      <c r="F44" s="18"/>
      <c r="G44" s="30"/>
      <c r="H44" s="31"/>
      <c r="I44" s="122"/>
      <c r="J44" s="9"/>
      <c r="K44" s="9"/>
      <c r="L44" s="32"/>
      <c r="M44" s="33"/>
      <c r="N44" s="32"/>
      <c r="O44" s="34">
        <f t="shared" ref="O44:O46" si="3">ROUND(IF(K44=0, IF(K44=0, 0, 1),I44/ K44),5)</f>
        <v>0</v>
      </c>
      <c r="P44" s="8"/>
      <c r="Q44" s="106"/>
      <c r="R44" s="7"/>
      <c r="T44" s="98"/>
    </row>
    <row r="45" spans="1:20" ht="14.25" customHeight="1" x14ac:dyDescent="0.25">
      <c r="A45" s="18"/>
      <c r="B45" s="18"/>
      <c r="C45" s="18"/>
      <c r="D45" s="18"/>
      <c r="E45" s="18" t="s">
        <v>52</v>
      </c>
      <c r="F45" s="18"/>
      <c r="G45" s="30">
        <v>0</v>
      </c>
      <c r="H45" s="31"/>
      <c r="I45" s="126">
        <v>0</v>
      </c>
      <c r="J45" s="9"/>
      <c r="K45" s="9">
        <v>0</v>
      </c>
      <c r="L45" s="32"/>
      <c r="M45" s="33"/>
      <c r="N45" s="32"/>
      <c r="O45" s="34">
        <f t="shared" si="3"/>
        <v>0</v>
      </c>
      <c r="P45" s="8"/>
      <c r="Q45" s="86"/>
      <c r="R45" s="7"/>
      <c r="T45" s="136"/>
    </row>
    <row r="46" spans="1:20" ht="15.75" thickBot="1" x14ac:dyDescent="0.3">
      <c r="A46" s="18"/>
      <c r="B46" s="18"/>
      <c r="C46" s="18"/>
      <c r="D46" s="18"/>
      <c r="E46" s="18" t="s">
        <v>15</v>
      </c>
      <c r="F46" s="18"/>
      <c r="G46" s="35">
        <v>0</v>
      </c>
      <c r="H46" s="31"/>
      <c r="I46" s="127">
        <v>0</v>
      </c>
      <c r="J46" s="9"/>
      <c r="K46" s="10">
        <v>0</v>
      </c>
      <c r="L46" s="32"/>
      <c r="M46" s="37">
        <f>ROUND((I49-K46),5)</f>
        <v>1160</v>
      </c>
      <c r="N46" s="32"/>
      <c r="O46" s="38">
        <f t="shared" si="3"/>
        <v>0</v>
      </c>
      <c r="P46" s="8"/>
      <c r="Q46" s="87">
        <v>0</v>
      </c>
      <c r="R46" s="7">
        <v>0</v>
      </c>
      <c r="T46" s="136"/>
    </row>
    <row r="47" spans="1:20" x14ac:dyDescent="0.25">
      <c r="A47" s="18"/>
      <c r="B47" s="18"/>
      <c r="C47" s="18"/>
      <c r="D47" s="18" t="s">
        <v>16</v>
      </c>
      <c r="E47" s="18"/>
      <c r="F47" s="18"/>
      <c r="G47" s="30">
        <f>SUM(G46,G45)</f>
        <v>0</v>
      </c>
      <c r="H47" s="31"/>
      <c r="I47" s="126">
        <f>SUM(I46,I45)</f>
        <v>0</v>
      </c>
      <c r="J47" s="9"/>
      <c r="K47" s="9">
        <f>ROUND(SUM(K44:K46),5)</f>
        <v>0</v>
      </c>
      <c r="L47" s="32"/>
      <c r="M47" s="33">
        <f>ROUND((I50-K47),5)</f>
        <v>647</v>
      </c>
      <c r="N47" s="32"/>
      <c r="O47" s="34">
        <f>ROUND(IF(K47=0, IF(I47=0, 0, 1), I47/K47),5)</f>
        <v>0</v>
      </c>
      <c r="P47" s="8"/>
      <c r="Q47" s="86">
        <f>SUM(Q46)</f>
        <v>0</v>
      </c>
      <c r="R47" s="7"/>
      <c r="T47" s="98"/>
    </row>
    <row r="48" spans="1:20" ht="30" customHeight="1" x14ac:dyDescent="0.25">
      <c r="A48" s="18"/>
      <c r="B48" s="18"/>
      <c r="C48" s="18"/>
      <c r="D48" s="18" t="s">
        <v>17</v>
      </c>
      <c r="E48" s="18"/>
      <c r="F48" s="18"/>
      <c r="G48" s="30"/>
      <c r="H48" s="31"/>
      <c r="J48" s="9"/>
      <c r="K48" s="9"/>
      <c r="L48" s="32"/>
      <c r="M48" s="33"/>
      <c r="N48" s="32"/>
      <c r="O48" s="34"/>
      <c r="P48" s="8"/>
      <c r="Q48" s="86"/>
      <c r="R48" s="7"/>
    </row>
    <row r="49" spans="1:19" x14ac:dyDescent="0.25">
      <c r="A49" s="18"/>
      <c r="B49" s="18"/>
      <c r="C49" s="18"/>
      <c r="D49" s="18"/>
      <c r="E49" s="18" t="s">
        <v>18</v>
      </c>
      <c r="F49" s="18"/>
      <c r="G49" s="30">
        <v>3529</v>
      </c>
      <c r="H49" s="31"/>
      <c r="I49" s="122">
        <v>1160</v>
      </c>
      <c r="J49" s="9"/>
      <c r="K49" s="9">
        <v>4000</v>
      </c>
      <c r="L49" s="32"/>
      <c r="M49" s="33"/>
      <c r="N49" s="32"/>
      <c r="O49" s="34">
        <f>ROUND(IF(K49=0, IF(I49=0, 0, 1), I49/K49),5)</f>
        <v>0.28999999999999998</v>
      </c>
      <c r="P49" s="8"/>
      <c r="Q49" s="86">
        <v>2500</v>
      </c>
      <c r="R49" s="7" t="s">
        <v>140</v>
      </c>
    </row>
    <row r="50" spans="1:19" x14ac:dyDescent="0.25">
      <c r="A50" s="18"/>
      <c r="B50" s="18"/>
      <c r="C50" s="18"/>
      <c r="D50" s="18"/>
      <c r="E50" s="18" t="s">
        <v>19</v>
      </c>
      <c r="F50" s="18"/>
      <c r="G50" s="30">
        <v>527</v>
      </c>
      <c r="H50" s="31"/>
      <c r="I50" s="122">
        <v>647</v>
      </c>
      <c r="J50" s="9"/>
      <c r="K50" s="9">
        <v>500</v>
      </c>
      <c r="L50" s="32"/>
      <c r="M50" s="33"/>
      <c r="N50" s="32"/>
      <c r="O50" s="34">
        <f>ROUND(IF(K50=0, IF(I50=0, 0, 1), I50/K50),5)</f>
        <v>1.294</v>
      </c>
      <c r="P50" s="8"/>
      <c r="Q50" s="86">
        <v>700</v>
      </c>
      <c r="R50" s="7"/>
    </row>
    <row r="51" spans="1:19" x14ac:dyDescent="0.25">
      <c r="A51" s="18"/>
      <c r="B51" s="18"/>
      <c r="C51" s="18"/>
      <c r="D51" s="18"/>
      <c r="E51" s="18" t="s">
        <v>58</v>
      </c>
      <c r="F51" s="18"/>
      <c r="G51" s="30">
        <v>213</v>
      </c>
      <c r="H51" s="31"/>
      <c r="I51" s="122">
        <v>636</v>
      </c>
      <c r="J51" s="9"/>
      <c r="K51" s="9">
        <v>1000</v>
      </c>
      <c r="L51" s="32"/>
      <c r="M51" s="33"/>
      <c r="N51" s="32"/>
      <c r="O51" s="34">
        <f>ROUND(IF(K51=0, IF(I51=0, 0, 1), I51/K51),5)</f>
        <v>0.63600000000000001</v>
      </c>
      <c r="P51" s="8"/>
      <c r="Q51" s="86">
        <v>800</v>
      </c>
      <c r="R51" s="7"/>
    </row>
    <row r="52" spans="1:19" x14ac:dyDescent="0.25">
      <c r="A52" s="18"/>
      <c r="B52" s="18"/>
      <c r="C52" s="18"/>
      <c r="D52" s="18"/>
      <c r="E52" s="18" t="s">
        <v>20</v>
      </c>
      <c r="F52" s="18"/>
      <c r="G52" s="30">
        <v>402</v>
      </c>
      <c r="H52" s="31"/>
      <c r="I52" s="122">
        <v>634</v>
      </c>
      <c r="J52" s="9"/>
      <c r="K52" s="9">
        <v>500</v>
      </c>
      <c r="L52" s="32"/>
      <c r="M52" s="33"/>
      <c r="N52" s="32"/>
      <c r="O52" s="34">
        <f t="shared" ref="O52:O56" si="4">ROUND(IF(K52=0, IF(I52=0, 0, 1), I52/K52),5)</f>
        <v>1.268</v>
      </c>
      <c r="P52" s="8"/>
      <c r="Q52" s="86">
        <v>700</v>
      </c>
      <c r="R52" s="7"/>
    </row>
    <row r="53" spans="1:19" x14ac:dyDescent="0.25">
      <c r="A53" s="18"/>
      <c r="B53" s="18"/>
      <c r="C53" s="18"/>
      <c r="D53" s="18"/>
      <c r="E53" s="18" t="s">
        <v>53</v>
      </c>
      <c r="F53" s="18"/>
      <c r="G53" s="30">
        <v>0</v>
      </c>
      <c r="H53" s="31"/>
      <c r="I53" s="122">
        <v>0</v>
      </c>
      <c r="J53" s="9"/>
      <c r="K53" s="9">
        <v>0</v>
      </c>
      <c r="L53" s="32"/>
      <c r="M53" s="33"/>
      <c r="N53" s="32"/>
      <c r="O53" s="34">
        <f t="shared" si="4"/>
        <v>0</v>
      </c>
      <c r="P53" s="8"/>
      <c r="Q53" s="86">
        <v>0</v>
      </c>
      <c r="R53" s="7"/>
    </row>
    <row r="54" spans="1:19" x14ac:dyDescent="0.25">
      <c r="A54" s="18"/>
      <c r="B54" s="18"/>
      <c r="C54" s="18"/>
      <c r="D54" s="18"/>
      <c r="E54" s="18" t="s">
        <v>21</v>
      </c>
      <c r="F54" s="18"/>
      <c r="G54" s="30">
        <v>2287</v>
      </c>
      <c r="H54" s="31"/>
      <c r="I54" s="122">
        <v>2300</v>
      </c>
      <c r="J54" s="9"/>
      <c r="K54" s="9">
        <v>2300</v>
      </c>
      <c r="L54" s="32"/>
      <c r="M54" s="33">
        <f>ROUND((I57-K54),5)</f>
        <v>3331</v>
      </c>
      <c r="N54" s="32"/>
      <c r="O54" s="34">
        <f>ROUND(IF(K54=0, IF(I54=0, 0, 1), I54/K54),5)</f>
        <v>1</v>
      </c>
      <c r="P54" s="8"/>
      <c r="Q54" s="86">
        <v>2300</v>
      </c>
      <c r="R54" s="7"/>
    </row>
    <row r="55" spans="1:19" x14ac:dyDescent="0.25">
      <c r="A55" s="18"/>
      <c r="B55" s="18"/>
      <c r="C55" s="18"/>
      <c r="D55" s="18"/>
      <c r="E55" s="18" t="s">
        <v>22</v>
      </c>
      <c r="F55" s="18"/>
      <c r="G55" s="30">
        <v>1495</v>
      </c>
      <c r="H55" s="31"/>
      <c r="I55" s="122">
        <v>240</v>
      </c>
      <c r="J55" s="9"/>
      <c r="K55" s="9">
        <v>1000</v>
      </c>
      <c r="L55" s="32"/>
      <c r="M55" s="33">
        <f>ROUND((I58-K55),5)</f>
        <v>-1000</v>
      </c>
      <c r="N55" s="32"/>
      <c r="O55" s="34">
        <f>ROUND(IF(K55=0, IF(I55=0, 0, 1), I55/K55),5)</f>
        <v>0.24</v>
      </c>
      <c r="P55" s="8"/>
      <c r="Q55" s="86">
        <v>350</v>
      </c>
      <c r="R55" s="7"/>
    </row>
    <row r="56" spans="1:19" ht="15.75" thickBot="1" x14ac:dyDescent="0.3">
      <c r="A56" s="18"/>
      <c r="B56" s="18"/>
      <c r="C56" s="18"/>
      <c r="D56" s="18"/>
      <c r="E56" s="18" t="s">
        <v>23</v>
      </c>
      <c r="F56" s="18"/>
      <c r="G56" s="35">
        <v>0</v>
      </c>
      <c r="H56" s="31"/>
      <c r="I56" s="125">
        <v>14</v>
      </c>
      <c r="J56" s="9"/>
      <c r="K56" s="10">
        <v>1000</v>
      </c>
      <c r="L56" s="32"/>
      <c r="M56" s="37">
        <f>ROUND((I59-K56),5)</f>
        <v>10542</v>
      </c>
      <c r="N56" s="32"/>
      <c r="O56" s="38">
        <f t="shared" si="4"/>
        <v>1.4E-2</v>
      </c>
      <c r="P56" s="8"/>
      <c r="Q56" s="87">
        <v>500</v>
      </c>
      <c r="R56" s="7"/>
    </row>
    <row r="57" spans="1:19" x14ac:dyDescent="0.25">
      <c r="A57" s="18"/>
      <c r="B57" s="18"/>
      <c r="C57" s="18"/>
      <c r="D57" s="18" t="s">
        <v>24</v>
      </c>
      <c r="E57" s="18"/>
      <c r="F57" s="18"/>
      <c r="G57" s="30">
        <f>SUM(G49:G56)</f>
        <v>8453</v>
      </c>
      <c r="H57" s="31"/>
      <c r="I57" s="122">
        <f>ROUND(SUM(I45:I56),5)</f>
        <v>5631</v>
      </c>
      <c r="J57" s="9"/>
      <c r="K57" s="9">
        <f>ROUND(SUM(K48:K56),5)</f>
        <v>10300</v>
      </c>
      <c r="L57" s="32"/>
      <c r="M57" s="33">
        <f>ROUND((I60-K57),5)</f>
        <v>1242</v>
      </c>
      <c r="N57" s="32"/>
      <c r="O57" s="34">
        <f>ROUND(IF(K57=0, IF(I57=0, 0, 1), I57/K57),5)</f>
        <v>0.54669999999999996</v>
      </c>
      <c r="P57" s="8"/>
      <c r="Q57" s="86">
        <f>SUM(Q49:Q56)</f>
        <v>7850</v>
      </c>
      <c r="R57" s="7"/>
    </row>
    <row r="58" spans="1:19" ht="30" customHeight="1" x14ac:dyDescent="0.25">
      <c r="A58" s="18"/>
      <c r="B58" s="18"/>
      <c r="C58" s="18"/>
      <c r="D58" s="18" t="s">
        <v>25</v>
      </c>
      <c r="E58" s="18"/>
      <c r="F58" s="18"/>
      <c r="G58" s="30"/>
      <c r="H58" s="31"/>
      <c r="I58" s="122"/>
      <c r="J58" s="9"/>
      <c r="K58" s="9"/>
      <c r="L58" s="32"/>
      <c r="M58" s="33"/>
      <c r="N58" s="32"/>
      <c r="O58" s="34"/>
      <c r="P58" s="8"/>
      <c r="Q58" s="86"/>
      <c r="R58" s="7"/>
    </row>
    <row r="59" spans="1:19" ht="15.75" thickBot="1" x14ac:dyDescent="0.3">
      <c r="A59" s="18"/>
      <c r="B59" s="18"/>
      <c r="C59" s="18"/>
      <c r="D59" s="18"/>
      <c r="E59" s="18" t="s">
        <v>26</v>
      </c>
      <c r="F59" s="18"/>
      <c r="G59" s="35">
        <v>11812</v>
      </c>
      <c r="H59" s="31"/>
      <c r="I59" s="125">
        <v>11542</v>
      </c>
      <c r="J59" s="9"/>
      <c r="K59" s="10">
        <v>12750</v>
      </c>
      <c r="L59" s="32"/>
      <c r="M59" s="37">
        <f>ROUND((I62-K59),5)</f>
        <v>-11908</v>
      </c>
      <c r="N59" s="32"/>
      <c r="O59" s="38">
        <f>ROUND(IF(K59=0, IF(I59=0, 0, 1), I59/K59),5)</f>
        <v>0.90525</v>
      </c>
      <c r="P59" s="8"/>
      <c r="Q59" s="87">
        <v>11850</v>
      </c>
      <c r="R59" s="7"/>
    </row>
    <row r="60" spans="1:19" x14ac:dyDescent="0.25">
      <c r="A60" s="18"/>
      <c r="B60" s="18"/>
      <c r="C60" s="18"/>
      <c r="D60" s="18" t="s">
        <v>27</v>
      </c>
      <c r="E60" s="18"/>
      <c r="F60" s="18"/>
      <c r="G60" s="9">
        <f>ROUND(SUM(G58:G59),5)</f>
        <v>11812</v>
      </c>
      <c r="H60" s="31"/>
      <c r="I60" s="122">
        <f>ROUND(SUM(I58:I59),5)</f>
        <v>11542</v>
      </c>
      <c r="J60" s="9"/>
      <c r="K60" s="9">
        <f>ROUND(SUM(K58:K59),5)</f>
        <v>12750</v>
      </c>
      <c r="L60" s="32"/>
      <c r="M60" s="33" t="e">
        <f>ROUND((#REF!-K60),5)</f>
        <v>#REF!</v>
      </c>
      <c r="N60" s="32"/>
      <c r="O60" s="110">
        <f>ROUND(IF(K60=0, IF(I60=0, 0, 1), I60/K60),5)</f>
        <v>0.90525</v>
      </c>
      <c r="P60" s="8"/>
      <c r="Q60" s="86">
        <f>SUM(Q59)</f>
        <v>11850</v>
      </c>
      <c r="R60" s="7"/>
    </row>
    <row r="61" spans="1:19" ht="30" customHeight="1" x14ac:dyDescent="0.25">
      <c r="A61" s="18"/>
      <c r="B61" s="18"/>
      <c r="C61" s="18"/>
      <c r="D61" s="18" t="s">
        <v>28</v>
      </c>
      <c r="E61" s="18"/>
      <c r="F61" s="18"/>
      <c r="G61" s="30"/>
      <c r="H61" s="31"/>
      <c r="I61" s="122"/>
      <c r="J61" s="9"/>
      <c r="K61" s="9"/>
      <c r="L61" s="32"/>
      <c r="M61" s="33"/>
      <c r="N61" s="32"/>
      <c r="O61" s="110"/>
      <c r="P61" s="8"/>
      <c r="Q61" s="86"/>
      <c r="R61" s="7"/>
    </row>
    <row r="62" spans="1:19" x14ac:dyDescent="0.25">
      <c r="A62" s="18"/>
      <c r="B62" s="18"/>
      <c r="C62" s="18"/>
      <c r="D62" s="18"/>
      <c r="E62" s="18" t="s">
        <v>29</v>
      </c>
      <c r="F62" s="18"/>
      <c r="G62" s="30">
        <v>4757</v>
      </c>
      <c r="H62" s="31"/>
      <c r="I62" s="122">
        <v>842</v>
      </c>
      <c r="J62" s="9"/>
      <c r="K62" s="9">
        <v>5000</v>
      </c>
      <c r="L62" s="32"/>
      <c r="M62" s="33"/>
      <c r="N62" s="32"/>
      <c r="O62" s="34">
        <f>ROUND(IF(K62=0, IF(I62=0, 0, 1), I62/K62),5)</f>
        <v>0.16839999999999999</v>
      </c>
      <c r="P62" s="8"/>
      <c r="Q62" s="86">
        <v>3000</v>
      </c>
      <c r="R62" s="7" t="s">
        <v>141</v>
      </c>
    </row>
    <row r="63" spans="1:19" x14ac:dyDescent="0.25">
      <c r="A63" s="18"/>
      <c r="B63" s="18"/>
      <c r="C63" s="18"/>
      <c r="D63" s="18"/>
      <c r="E63" s="18" t="s">
        <v>30</v>
      </c>
      <c r="F63" s="18"/>
      <c r="G63" s="9">
        <v>3984</v>
      </c>
      <c r="H63" s="31"/>
      <c r="I63" s="122">
        <v>3079</v>
      </c>
      <c r="J63" s="9"/>
      <c r="K63" s="9">
        <v>2000</v>
      </c>
      <c r="L63" s="32"/>
      <c r="M63" s="33"/>
      <c r="N63" s="32"/>
      <c r="O63" s="34">
        <f>ROUND(IF(K63=0, IF(I63=0, 0, 1), I63/K63),5)</f>
        <v>1.5395000000000001</v>
      </c>
      <c r="P63" s="8"/>
      <c r="Q63" s="86">
        <v>3500</v>
      </c>
      <c r="R63" s="7"/>
      <c r="S63" s="137"/>
    </row>
    <row r="64" spans="1:19" ht="15.75" thickBot="1" x14ac:dyDescent="0.3">
      <c r="A64" s="18"/>
      <c r="B64" s="18"/>
      <c r="C64" s="18"/>
      <c r="D64" s="18"/>
      <c r="E64" s="18" t="s">
        <v>31</v>
      </c>
      <c r="F64" s="18"/>
      <c r="G64" s="35">
        <v>0</v>
      </c>
      <c r="H64" s="31"/>
      <c r="I64" s="123">
        <v>0</v>
      </c>
      <c r="J64" s="9"/>
      <c r="K64" s="9">
        <v>0</v>
      </c>
      <c r="L64" s="32"/>
      <c r="M64" s="33">
        <f>ROUND((I68-K64),5)</f>
        <v>559</v>
      </c>
      <c r="N64" s="32"/>
      <c r="O64" s="38">
        <f t="shared" ref="O64" si="5">ROUND(IF(K64=0, IF(I64=0, 0, 1), I64/K64),5)</f>
        <v>0</v>
      </c>
      <c r="P64" s="8"/>
      <c r="Q64" s="87">
        <v>0</v>
      </c>
      <c r="R64" s="7"/>
    </row>
    <row r="65" spans="1:21" ht="15.75" thickBot="1" x14ac:dyDescent="0.3">
      <c r="A65" s="18"/>
      <c r="B65" s="18"/>
      <c r="C65" s="18"/>
      <c r="D65" s="18" t="s">
        <v>32</v>
      </c>
      <c r="E65" s="18"/>
      <c r="F65" s="18"/>
      <c r="G65" s="35">
        <f>SUM(G62:G64)</f>
        <v>8741</v>
      </c>
      <c r="H65" s="31"/>
      <c r="I65" s="129">
        <f>ROUND(SUM(I61:I64),5)</f>
        <v>3921</v>
      </c>
      <c r="J65" s="9"/>
      <c r="K65" s="39">
        <f>ROUND(SUM(K61:K64),5)</f>
        <v>7000</v>
      </c>
      <c r="L65" s="32"/>
      <c r="M65" s="40" t="e">
        <f>ROUND((#REF!-K65),5)</f>
        <v>#REF!</v>
      </c>
      <c r="N65" s="32"/>
      <c r="O65" s="51">
        <f>ROUND(IF(K65=0, IF(I65=0, 0, 1), I65/K65),5)</f>
        <v>0.56013999999999997</v>
      </c>
      <c r="P65" s="8"/>
      <c r="Q65" s="87">
        <f>SUM(Q62:Q64)</f>
        <v>6500</v>
      </c>
      <c r="R65" s="7"/>
    </row>
    <row r="66" spans="1:21" ht="30" customHeight="1" thickBot="1" x14ac:dyDescent="0.3">
      <c r="A66" s="18"/>
      <c r="B66" s="18"/>
      <c r="C66" s="18" t="s">
        <v>42</v>
      </c>
      <c r="D66" s="18"/>
      <c r="E66" s="18"/>
      <c r="F66" s="18"/>
      <c r="G66" s="11">
        <f>SUM(G65,G60,G57,G47,G43,G28)</f>
        <v>367147</v>
      </c>
      <c r="H66" s="31"/>
      <c r="I66" s="130">
        <f>ROUND(I21+I28+I43+I44+I57+I60+I65,5)</f>
        <v>350701</v>
      </c>
      <c r="J66" s="9"/>
      <c r="K66" s="11">
        <f>ROUND(K21+K28+K43+K47+K57+K60+K65,5)</f>
        <v>435266</v>
      </c>
      <c r="L66" s="32"/>
      <c r="M66" s="40" t="e">
        <f>ROUND((#REF!-K66),5)</f>
        <v>#REF!</v>
      </c>
      <c r="N66" s="32"/>
      <c r="O66" s="51">
        <f>ROUND(IF(K66=0, IF(I66=0, 0, 1), I66/K66),5)</f>
        <v>0.80571999999999999</v>
      </c>
      <c r="P66" s="8"/>
      <c r="Q66" s="101">
        <f>SUM(Q65,Q60,Q57,Q47,Q43,Q28)</f>
        <v>605970</v>
      </c>
      <c r="R66" s="7"/>
    </row>
    <row r="67" spans="1:21" ht="30" customHeight="1" x14ac:dyDescent="0.25">
      <c r="A67" s="46" t="s">
        <v>45</v>
      </c>
      <c r="B67" s="18"/>
      <c r="C67" s="18"/>
      <c r="D67" s="18"/>
      <c r="E67" s="18"/>
      <c r="F67" s="18"/>
      <c r="G67" s="334">
        <v>362756</v>
      </c>
      <c r="H67" s="31"/>
      <c r="I67" s="123"/>
      <c r="J67" s="9"/>
      <c r="K67" s="9"/>
      <c r="L67" s="32"/>
      <c r="M67" s="33"/>
      <c r="N67" s="32"/>
      <c r="O67" s="34"/>
      <c r="P67" s="8"/>
      <c r="Q67" s="86">
        <f>I71</f>
        <v>362141</v>
      </c>
      <c r="R67" s="7"/>
      <c r="T67" s="150"/>
    </row>
    <row r="68" spans="1:21" ht="30" customHeight="1" x14ac:dyDescent="0.25">
      <c r="A68" s="46"/>
      <c r="B68" s="18" t="s">
        <v>43</v>
      </c>
      <c r="C68" s="18"/>
      <c r="D68" s="18"/>
      <c r="E68" s="18"/>
      <c r="F68" s="18"/>
      <c r="G68" s="339">
        <f>G20-G66</f>
        <v>-1174</v>
      </c>
      <c r="H68" s="31"/>
      <c r="I68" s="123">
        <f>ROUND(I20-I66,5)</f>
        <v>559</v>
      </c>
      <c r="J68" s="9"/>
      <c r="K68" s="339">
        <f>ROUND(K4+K20-K66,5)</f>
        <v>-18924</v>
      </c>
      <c r="L68" s="32"/>
      <c r="M68" s="33"/>
      <c r="N68" s="32"/>
      <c r="O68" s="34">
        <f>ROUND(IF(K68=0, IF(I68=0, 0, 1), I68/K68),5)</f>
        <v>-2.954E-2</v>
      </c>
      <c r="P68" s="8"/>
      <c r="Q68" s="342">
        <f>Q20-Q66</f>
        <v>1536</v>
      </c>
      <c r="R68" s="7" t="s">
        <v>151</v>
      </c>
      <c r="T68" s="150"/>
    </row>
    <row r="69" spans="1:21" ht="30" customHeight="1" x14ac:dyDescent="0.25">
      <c r="A69" s="18"/>
      <c r="B69" s="347" t="s">
        <v>276</v>
      </c>
      <c r="C69" s="347"/>
      <c r="D69" s="347"/>
      <c r="E69" s="347"/>
      <c r="F69" s="347"/>
      <c r="G69" s="334"/>
      <c r="H69" s="92"/>
      <c r="I69" s="123"/>
      <c r="J69" s="86"/>
      <c r="K69" s="86"/>
      <c r="L69" s="93"/>
      <c r="M69" s="94"/>
      <c r="N69" s="93"/>
      <c r="O69" s="95"/>
      <c r="P69" s="96"/>
      <c r="Q69" s="86">
        <v>56672</v>
      </c>
      <c r="R69" s="7" t="s">
        <v>273</v>
      </c>
      <c r="T69" s="150"/>
    </row>
    <row r="70" spans="1:21" ht="30" customHeight="1" x14ac:dyDescent="0.25">
      <c r="A70" s="18"/>
      <c r="B70" s="347" t="s">
        <v>280</v>
      </c>
      <c r="C70" s="347"/>
      <c r="D70" s="347"/>
      <c r="E70" s="347"/>
      <c r="F70" s="347"/>
      <c r="G70" s="334"/>
      <c r="H70" s="92"/>
      <c r="I70" s="123"/>
      <c r="J70" s="86"/>
      <c r="K70" s="86"/>
      <c r="L70" s="93"/>
      <c r="M70" s="94"/>
      <c r="N70" s="93"/>
      <c r="O70" s="95"/>
      <c r="P70" s="96"/>
      <c r="Q70" s="86">
        <f>(Q66-Q23)/2</f>
        <v>236183.5</v>
      </c>
      <c r="R70" s="7"/>
      <c r="T70" s="150"/>
    </row>
    <row r="71" spans="1:21" s="1" customFormat="1" ht="30" customHeight="1" thickBot="1" x14ac:dyDescent="0.25">
      <c r="A71" s="18" t="s">
        <v>44</v>
      </c>
      <c r="B71" s="18"/>
      <c r="C71" s="18"/>
      <c r="D71" s="18"/>
      <c r="E71" s="18"/>
      <c r="F71" s="18"/>
      <c r="G71" s="338">
        <f>G67+G68</f>
        <v>361582</v>
      </c>
      <c r="H71" s="31"/>
      <c r="I71" s="337">
        <f>G71+I68</f>
        <v>362141</v>
      </c>
      <c r="J71" s="31"/>
      <c r="K71" s="9"/>
      <c r="L71" s="42"/>
      <c r="M71" s="43">
        <f>ROUND((I71-K71),5)</f>
        <v>362141</v>
      </c>
      <c r="N71" s="44"/>
      <c r="O71" s="34"/>
      <c r="P71" s="45"/>
      <c r="Q71" s="343">
        <f>Q67+Q68</f>
        <v>363677</v>
      </c>
      <c r="R71" s="7" t="s">
        <v>277</v>
      </c>
      <c r="S71" s="84"/>
      <c r="U71" s="84"/>
    </row>
    <row r="72" spans="1:21" s="1" customFormat="1" ht="30" customHeight="1" thickTop="1" x14ac:dyDescent="0.2">
      <c r="A72" s="18" t="s">
        <v>281</v>
      </c>
      <c r="B72" s="18"/>
      <c r="C72" s="18"/>
      <c r="D72" s="18"/>
      <c r="E72" s="18"/>
      <c r="F72" s="18"/>
      <c r="G72" s="340"/>
      <c r="H72" s="31"/>
      <c r="I72" s="131"/>
      <c r="J72" s="31"/>
      <c r="K72" s="9"/>
      <c r="L72" s="42"/>
      <c r="M72" s="335"/>
      <c r="N72" s="336"/>
      <c r="O72" s="34"/>
      <c r="P72" s="45"/>
      <c r="Q72" s="344">
        <f>Q71-Q70-Q69</f>
        <v>70821.5</v>
      </c>
      <c r="R72" s="7"/>
      <c r="S72" s="84"/>
      <c r="U72" s="84"/>
    </row>
    <row r="73" spans="1:21" s="1" customFormat="1" ht="30" customHeight="1" x14ac:dyDescent="0.2">
      <c r="A73" s="18"/>
      <c r="B73" s="18"/>
      <c r="C73" s="18"/>
      <c r="D73" s="18"/>
      <c r="E73" s="18"/>
      <c r="F73" s="18"/>
      <c r="G73" s="334"/>
      <c r="H73" s="31"/>
      <c r="I73" s="131"/>
      <c r="J73" s="31"/>
      <c r="K73" s="9"/>
      <c r="L73" s="42"/>
      <c r="M73" s="335"/>
      <c r="N73" s="336"/>
      <c r="O73" s="34"/>
      <c r="P73" s="45"/>
      <c r="Q73" s="341">
        <f>Q71/Q66</f>
        <v>0.60015677343762897</v>
      </c>
      <c r="R73" s="7" t="s">
        <v>278</v>
      </c>
      <c r="S73" s="84"/>
      <c r="U73" s="84"/>
    </row>
    <row r="74" spans="1:21" x14ac:dyDescent="0.25">
      <c r="A74" s="46"/>
      <c r="B74" s="47"/>
      <c r="C74" s="48"/>
      <c r="D74" s="48"/>
      <c r="E74" s="48"/>
      <c r="F74" s="49"/>
      <c r="G74" s="30"/>
      <c r="H74" s="31"/>
      <c r="I74" s="132"/>
      <c r="J74" s="12"/>
      <c r="K74" s="30"/>
      <c r="L74" s="8"/>
      <c r="M74" s="8"/>
      <c r="N74" s="8"/>
      <c r="O74" s="14"/>
      <c r="P74" s="8"/>
      <c r="Q74" s="91"/>
      <c r="R74" s="7"/>
    </row>
    <row r="75" spans="1:21" x14ac:dyDescent="0.25">
      <c r="A75" s="46"/>
      <c r="B75" s="47"/>
      <c r="C75" s="48" t="s">
        <v>46</v>
      </c>
      <c r="D75" s="48"/>
      <c r="E75" s="48"/>
      <c r="F75" s="49"/>
      <c r="G75" s="30"/>
      <c r="H75" s="31"/>
      <c r="I75" s="132"/>
      <c r="J75" s="12"/>
      <c r="K75" s="30"/>
      <c r="L75" s="8"/>
      <c r="M75" s="8"/>
      <c r="N75" s="8"/>
      <c r="O75" s="14"/>
      <c r="P75" s="8"/>
      <c r="Q75" s="91"/>
      <c r="R75" s="7"/>
    </row>
    <row r="76" spans="1:21" x14ac:dyDescent="0.25">
      <c r="A76" s="46"/>
      <c r="B76" s="47"/>
      <c r="C76" s="46"/>
      <c r="D76" s="46"/>
      <c r="E76" s="46"/>
      <c r="F76" s="85" t="s">
        <v>138</v>
      </c>
      <c r="G76" s="30"/>
      <c r="H76" s="31"/>
      <c r="I76" s="133"/>
      <c r="J76" s="12"/>
      <c r="K76" s="30"/>
      <c r="L76" s="8"/>
      <c r="M76" s="8"/>
      <c r="N76" s="8"/>
      <c r="O76" s="14"/>
      <c r="P76" s="8"/>
      <c r="Q76" s="91"/>
      <c r="R76" s="7"/>
    </row>
    <row r="77" spans="1:21" x14ac:dyDescent="0.25">
      <c r="A77" s="46"/>
      <c r="B77" s="71"/>
      <c r="C77" s="66" t="s">
        <v>147</v>
      </c>
      <c r="D77" s="72"/>
      <c r="E77" s="72"/>
      <c r="F77" s="150" t="s">
        <v>148</v>
      </c>
      <c r="G77" s="73"/>
      <c r="H77" s="74"/>
      <c r="I77" s="133"/>
      <c r="J77" s="75"/>
      <c r="K77" s="73"/>
      <c r="L77" s="76"/>
      <c r="M77" s="76"/>
      <c r="N77" s="76"/>
      <c r="O77" s="77"/>
      <c r="P77" s="78"/>
      <c r="Q77" s="107"/>
      <c r="R77" s="7"/>
    </row>
    <row r="78" spans="1:21" x14ac:dyDescent="0.25">
      <c r="A78" s="46"/>
      <c r="B78" s="71"/>
      <c r="C78" s="66" t="s">
        <v>149</v>
      </c>
      <c r="D78" s="72"/>
      <c r="E78" s="72"/>
      <c r="F78" s="150" t="s">
        <v>157</v>
      </c>
      <c r="G78" s="73"/>
      <c r="H78" s="74"/>
      <c r="I78" s="133"/>
      <c r="J78" s="75"/>
      <c r="K78" s="73"/>
      <c r="L78" s="76"/>
      <c r="M78" s="76"/>
      <c r="N78" s="76"/>
      <c r="O78" s="77"/>
      <c r="P78" s="78"/>
      <c r="Q78" s="107"/>
      <c r="R78" s="7"/>
    </row>
    <row r="79" spans="1:21" x14ac:dyDescent="0.25">
      <c r="A79" s="16"/>
      <c r="B79" s="66"/>
      <c r="C79" s="66" t="s">
        <v>33</v>
      </c>
      <c r="D79" s="66"/>
      <c r="E79" s="66"/>
      <c r="F79" s="150" t="s">
        <v>158</v>
      </c>
      <c r="G79" s="79"/>
      <c r="H79" s="66"/>
      <c r="I79" s="133"/>
      <c r="J79" s="76"/>
      <c r="K79" s="76"/>
      <c r="L79" s="76"/>
      <c r="M79" s="76"/>
      <c r="N79" s="76"/>
      <c r="O79" s="77"/>
      <c r="P79" s="80"/>
      <c r="Q79" s="108"/>
    </row>
    <row r="80" spans="1:21" x14ac:dyDescent="0.25">
      <c r="A80" s="16"/>
      <c r="B80" s="66"/>
      <c r="C80" s="66" t="s">
        <v>34</v>
      </c>
      <c r="D80" s="66"/>
      <c r="E80" s="66"/>
      <c r="F80" t="s">
        <v>150</v>
      </c>
      <c r="G80" s="79"/>
      <c r="H80" s="66"/>
      <c r="I80" s="133"/>
      <c r="J80" s="76"/>
      <c r="K80" s="76"/>
      <c r="L80" s="76"/>
      <c r="M80" s="76"/>
      <c r="N80" s="76"/>
      <c r="O80" s="77"/>
      <c r="P80" s="80"/>
      <c r="Q80" s="108"/>
    </row>
    <row r="81" spans="1:21" x14ac:dyDescent="0.25">
      <c r="A81" s="16"/>
      <c r="B81" s="66"/>
      <c r="C81" s="66" t="s">
        <v>35</v>
      </c>
      <c r="D81" s="66"/>
      <c r="E81" s="66"/>
      <c r="F81" t="s">
        <v>106</v>
      </c>
      <c r="G81" s="79"/>
      <c r="H81" s="66"/>
      <c r="I81" s="133"/>
      <c r="J81" s="76"/>
      <c r="K81" s="76"/>
      <c r="L81" s="76"/>
      <c r="M81" s="76"/>
      <c r="N81" s="76"/>
      <c r="O81" s="77"/>
      <c r="P81" s="80"/>
      <c r="Q81" s="108"/>
    </row>
    <row r="82" spans="1:21" x14ac:dyDescent="0.25">
      <c r="A82" s="16"/>
      <c r="B82" s="66"/>
      <c r="C82" s="66" t="s">
        <v>36</v>
      </c>
      <c r="D82" s="66"/>
      <c r="E82" s="66"/>
      <c r="F82" t="s">
        <v>136</v>
      </c>
      <c r="G82" s="79"/>
      <c r="H82" s="66"/>
      <c r="I82" s="133"/>
      <c r="J82" s="76"/>
      <c r="K82" s="76"/>
      <c r="L82" s="76"/>
      <c r="M82" s="76"/>
      <c r="N82" s="76"/>
      <c r="O82" s="77"/>
      <c r="P82" s="80"/>
      <c r="Q82" s="108"/>
    </row>
    <row r="83" spans="1:21" x14ac:dyDescent="0.25">
      <c r="A83" s="16"/>
      <c r="B83" s="66"/>
      <c r="C83" s="66" t="s">
        <v>37</v>
      </c>
      <c r="D83" s="66"/>
      <c r="E83" s="66"/>
      <c r="F83" t="s">
        <v>155</v>
      </c>
      <c r="G83" s="79"/>
      <c r="H83" s="66"/>
      <c r="I83" s="133"/>
      <c r="J83" s="76"/>
      <c r="K83" s="76"/>
      <c r="L83" s="76"/>
      <c r="M83" s="76"/>
      <c r="N83" s="76"/>
      <c r="O83" s="77"/>
      <c r="P83" s="80"/>
      <c r="Q83" s="108"/>
    </row>
    <row r="84" spans="1:21" x14ac:dyDescent="0.25">
      <c r="A84" s="16"/>
      <c r="B84" s="66"/>
      <c r="C84" s="66" t="s">
        <v>38</v>
      </c>
      <c r="D84" s="66"/>
      <c r="E84" s="66"/>
      <c r="F84" s="98" t="s">
        <v>153</v>
      </c>
      <c r="G84" s="79"/>
      <c r="H84" s="66"/>
      <c r="I84" s="133"/>
      <c r="J84" s="76"/>
      <c r="K84" s="76"/>
      <c r="L84" s="76"/>
      <c r="M84" s="76"/>
      <c r="N84" s="76"/>
      <c r="O84" s="77"/>
      <c r="P84" s="80"/>
      <c r="Q84" s="108"/>
    </row>
    <row r="85" spans="1:21" s="6" customFormat="1" x14ac:dyDescent="0.25">
      <c r="A85" s="16"/>
      <c r="B85" s="66"/>
      <c r="C85" s="111" t="s">
        <v>109</v>
      </c>
      <c r="D85" s="111"/>
      <c r="E85" s="111"/>
      <c r="F85" t="s">
        <v>156</v>
      </c>
      <c r="G85" s="112"/>
      <c r="H85" s="111"/>
      <c r="I85" s="134"/>
      <c r="J85" s="113"/>
      <c r="K85" s="113"/>
      <c r="L85" s="76"/>
      <c r="M85" s="76"/>
      <c r="N85" s="76"/>
      <c r="O85" s="77"/>
      <c r="P85" s="80"/>
      <c r="Q85" s="108"/>
      <c r="S85"/>
      <c r="T85"/>
      <c r="U85"/>
    </row>
    <row r="86" spans="1:21" s="6" customFormat="1" x14ac:dyDescent="0.25">
      <c r="A86" s="16"/>
      <c r="B86" s="66"/>
      <c r="C86" s="66" t="s">
        <v>110</v>
      </c>
      <c r="D86" s="66"/>
      <c r="E86" s="66"/>
      <c r="F86" t="s">
        <v>124</v>
      </c>
      <c r="G86" s="79"/>
      <c r="H86" s="66"/>
      <c r="I86" s="133"/>
      <c r="J86" s="76"/>
      <c r="K86" s="76"/>
      <c r="L86" s="76"/>
      <c r="M86" s="76"/>
      <c r="N86" s="76"/>
      <c r="O86" s="77"/>
      <c r="P86" s="80"/>
      <c r="Q86" s="108"/>
      <c r="S86"/>
      <c r="T86"/>
      <c r="U86"/>
    </row>
    <row r="87" spans="1:21" s="6" customFormat="1" x14ac:dyDescent="0.25">
      <c r="A87" s="16"/>
      <c r="B87" s="66"/>
      <c r="C87" s="66" t="s">
        <v>113</v>
      </c>
      <c r="D87" s="66"/>
      <c r="E87" s="66"/>
      <c r="F87" t="s">
        <v>111</v>
      </c>
      <c r="G87" s="79"/>
      <c r="H87" s="66"/>
      <c r="I87" s="133"/>
      <c r="J87" s="76"/>
      <c r="K87" s="76"/>
      <c r="L87" s="76"/>
      <c r="M87" s="76"/>
      <c r="N87" s="76"/>
      <c r="O87" s="77"/>
      <c r="P87" s="80"/>
      <c r="Q87" s="108"/>
      <c r="S87"/>
      <c r="T87"/>
      <c r="U87"/>
    </row>
    <row r="88" spans="1:21" s="6" customFormat="1" x14ac:dyDescent="0.25">
      <c r="A88" s="16"/>
      <c r="B88" s="66"/>
      <c r="C88" s="66" t="s">
        <v>139</v>
      </c>
      <c r="D88" s="66"/>
      <c r="E88" s="66"/>
      <c r="F88" t="s">
        <v>112</v>
      </c>
      <c r="G88" s="79"/>
      <c r="H88" s="66"/>
      <c r="I88" s="133"/>
      <c r="J88" s="76"/>
      <c r="K88" s="76"/>
      <c r="L88" s="76"/>
      <c r="M88" s="76"/>
      <c r="N88" s="76"/>
      <c r="O88" s="77"/>
      <c r="P88" s="80"/>
      <c r="Q88" s="108"/>
      <c r="S88"/>
      <c r="T88"/>
      <c r="U88"/>
    </row>
    <row r="89" spans="1:21" s="6" customFormat="1" x14ac:dyDescent="0.25">
      <c r="A89" s="16"/>
      <c r="B89" s="66"/>
      <c r="C89" s="66" t="s">
        <v>140</v>
      </c>
      <c r="D89" s="66"/>
      <c r="E89" s="66"/>
      <c r="F89" t="s">
        <v>137</v>
      </c>
      <c r="G89" s="79"/>
      <c r="H89" s="66"/>
      <c r="I89" s="133"/>
      <c r="J89" s="76"/>
      <c r="K89" s="76"/>
      <c r="L89" s="76"/>
      <c r="M89" s="76"/>
      <c r="N89" s="76"/>
      <c r="O89" s="77"/>
      <c r="P89" s="80"/>
      <c r="Q89" s="108"/>
      <c r="S89"/>
      <c r="T89"/>
      <c r="U89"/>
    </row>
    <row r="90" spans="1:21" s="6" customFormat="1" x14ac:dyDescent="0.25">
      <c r="A90" s="16"/>
      <c r="B90" s="66"/>
      <c r="C90" s="66" t="s">
        <v>141</v>
      </c>
      <c r="D90" s="66"/>
      <c r="E90" s="66"/>
      <c r="F90" t="s">
        <v>107</v>
      </c>
      <c r="G90" s="79"/>
      <c r="H90" s="66"/>
      <c r="I90" s="133"/>
      <c r="J90" s="76"/>
      <c r="K90" s="76"/>
      <c r="L90" s="76"/>
      <c r="M90" s="76"/>
      <c r="N90" s="76"/>
      <c r="O90" s="77"/>
      <c r="P90" s="80"/>
      <c r="Q90" s="108"/>
      <c r="S90"/>
      <c r="T90"/>
      <c r="U90"/>
    </row>
    <row r="91" spans="1:21" s="6" customFormat="1" x14ac:dyDescent="0.25">
      <c r="A91" s="16"/>
      <c r="B91" s="46"/>
      <c r="C91" s="46" t="s">
        <v>151</v>
      </c>
      <c r="D91" s="46"/>
      <c r="E91" s="46"/>
      <c r="F91" s="149" t="s">
        <v>152</v>
      </c>
      <c r="G91" s="54"/>
      <c r="H91" s="46"/>
      <c r="I91" s="133"/>
      <c r="J91" s="15"/>
      <c r="K91" s="15"/>
      <c r="L91" s="15"/>
      <c r="M91" s="15"/>
      <c r="N91" s="15"/>
      <c r="O91" s="53"/>
      <c r="P91"/>
      <c r="Q91" s="104"/>
      <c r="S91"/>
      <c r="T91"/>
      <c r="U91"/>
    </row>
    <row r="92" spans="1:21" x14ac:dyDescent="0.25">
      <c r="A92" s="16"/>
      <c r="B92" s="70"/>
      <c r="C92" s="66" t="s">
        <v>273</v>
      </c>
      <c r="D92" s="66"/>
      <c r="E92" s="66"/>
      <c r="F92" s="333" t="s">
        <v>274</v>
      </c>
      <c r="G92" s="54"/>
      <c r="H92" s="46"/>
      <c r="I92" s="135"/>
      <c r="J92" s="15"/>
      <c r="K92" s="15"/>
      <c r="L92" s="15"/>
      <c r="M92" s="15"/>
      <c r="N92" s="15"/>
      <c r="O92" s="53"/>
    </row>
    <row r="93" spans="1:21" x14ac:dyDescent="0.25">
      <c r="A93" s="16"/>
      <c r="B93" s="70"/>
      <c r="C93" s="66" t="s">
        <v>277</v>
      </c>
      <c r="D93" s="66"/>
      <c r="E93" s="66"/>
      <c r="F93" s="333" t="s">
        <v>275</v>
      </c>
      <c r="G93" s="54"/>
      <c r="H93" s="46"/>
      <c r="I93" s="135"/>
      <c r="J93" s="15"/>
      <c r="K93" s="15"/>
      <c r="L93" s="15"/>
      <c r="M93" s="15"/>
      <c r="N93" s="15"/>
      <c r="O93" s="53"/>
    </row>
    <row r="94" spans="1:21" x14ac:dyDescent="0.25">
      <c r="A94" s="16"/>
      <c r="B94" s="70"/>
      <c r="C94" s="66" t="s">
        <v>278</v>
      </c>
      <c r="D94" s="66"/>
      <c r="E94" s="66"/>
      <c r="F94" s="333" t="s">
        <v>279</v>
      </c>
      <c r="G94" s="54"/>
      <c r="H94" s="46"/>
      <c r="I94" s="135"/>
      <c r="J94" s="15"/>
      <c r="K94" s="15"/>
      <c r="L94" s="15"/>
      <c r="M94" s="15"/>
      <c r="N94" s="15"/>
      <c r="O94" s="53"/>
    </row>
    <row r="95" spans="1:21" x14ac:dyDescent="0.25">
      <c r="A95" s="16"/>
      <c r="B95" s="70"/>
      <c r="C95" s="66"/>
      <c r="D95" s="66"/>
      <c r="E95" s="66"/>
      <c r="F95" s="66"/>
      <c r="G95" s="54"/>
      <c r="H95" s="46"/>
      <c r="I95" s="135"/>
      <c r="J95" s="15"/>
      <c r="K95" s="15"/>
      <c r="L95" s="15"/>
      <c r="M95" s="15"/>
      <c r="N95" s="15"/>
      <c r="O95" s="53"/>
    </row>
    <row r="96" spans="1:21" x14ac:dyDescent="0.25">
      <c r="A96" s="16"/>
      <c r="B96" s="70"/>
      <c r="C96" s="66"/>
      <c r="D96" s="66"/>
      <c r="E96" s="66"/>
      <c r="F96" s="66"/>
      <c r="G96" s="54"/>
      <c r="H96" s="46"/>
      <c r="I96" s="135"/>
      <c r="J96" s="15"/>
      <c r="K96" s="15"/>
      <c r="L96" s="15"/>
      <c r="M96" s="15"/>
      <c r="N96" s="15"/>
      <c r="O96" s="53"/>
    </row>
    <row r="97" spans="1:15" x14ac:dyDescent="0.25">
      <c r="A97" s="16"/>
      <c r="B97" s="70"/>
      <c r="C97" s="66"/>
      <c r="D97" s="66"/>
      <c r="E97" s="66"/>
      <c r="F97" s="66"/>
      <c r="G97" s="54"/>
      <c r="H97" s="46"/>
      <c r="I97" s="135"/>
      <c r="J97" s="15"/>
      <c r="K97" s="15"/>
      <c r="L97" s="15"/>
      <c r="M97" s="15"/>
      <c r="N97" s="15"/>
      <c r="O97" s="53"/>
    </row>
    <row r="98" spans="1:15" x14ac:dyDescent="0.25">
      <c r="A98" s="16"/>
      <c r="B98" s="70"/>
      <c r="C98" s="66"/>
      <c r="D98" s="66"/>
      <c r="E98" s="66"/>
      <c r="F98" s="66"/>
      <c r="G98" s="54"/>
      <c r="H98" s="46"/>
      <c r="I98" s="135"/>
      <c r="J98" s="15"/>
      <c r="K98" s="15"/>
      <c r="L98" s="15"/>
      <c r="M98" s="15"/>
      <c r="N98" s="15"/>
      <c r="O98" s="53"/>
    </row>
    <row r="99" spans="1:15" x14ac:dyDescent="0.25">
      <c r="A99" s="16"/>
      <c r="B99" s="70"/>
      <c r="C99" s="66"/>
      <c r="D99" s="66"/>
      <c r="E99" s="66"/>
      <c r="F99" s="66"/>
      <c r="G99" s="54"/>
      <c r="H99" s="46"/>
      <c r="I99" s="135"/>
      <c r="J99" s="15"/>
      <c r="K99" s="15"/>
      <c r="L99" s="15"/>
      <c r="M99" s="15"/>
      <c r="N99" s="15"/>
      <c r="O99" s="53"/>
    </row>
    <row r="100" spans="1:15" x14ac:dyDescent="0.25">
      <c r="A100" s="16"/>
      <c r="B100" s="70"/>
      <c r="C100" s="66"/>
      <c r="D100" s="66"/>
      <c r="E100" s="66"/>
      <c r="F100" s="66"/>
      <c r="G100" s="54"/>
      <c r="H100" s="46"/>
      <c r="I100" s="135"/>
      <c r="J100" s="15"/>
      <c r="K100" s="15"/>
      <c r="L100" s="15"/>
      <c r="M100" s="15"/>
      <c r="N100" s="15"/>
      <c r="O100" s="53"/>
    </row>
    <row r="101" spans="1:15" x14ac:dyDescent="0.25">
      <c r="A101" s="16"/>
      <c r="B101" s="70"/>
      <c r="C101" s="66"/>
      <c r="D101" s="66"/>
      <c r="E101" s="66"/>
      <c r="F101" s="66"/>
      <c r="G101" s="54"/>
      <c r="H101" s="46"/>
      <c r="I101" s="135"/>
      <c r="J101" s="15"/>
      <c r="K101" s="15"/>
      <c r="L101" s="15"/>
      <c r="M101" s="15"/>
      <c r="N101" s="15"/>
      <c r="O101" s="53"/>
    </row>
    <row r="102" spans="1:15" x14ac:dyDescent="0.25">
      <c r="A102" s="16"/>
      <c r="B102" s="70"/>
      <c r="C102" s="66"/>
      <c r="D102" s="66"/>
      <c r="E102" s="66"/>
      <c r="F102" s="66"/>
      <c r="G102" s="54"/>
      <c r="H102" s="46"/>
      <c r="I102" s="135"/>
      <c r="J102" s="15"/>
      <c r="K102" s="15"/>
      <c r="L102" s="15"/>
      <c r="M102" s="15"/>
      <c r="N102" s="15"/>
      <c r="O102" s="53"/>
    </row>
    <row r="103" spans="1:15" x14ac:dyDescent="0.25">
      <c r="A103" s="16"/>
      <c r="B103" s="70"/>
      <c r="C103" s="66"/>
      <c r="D103" s="66"/>
      <c r="E103" s="66"/>
      <c r="F103" s="66"/>
      <c r="G103" s="54"/>
      <c r="H103" s="46"/>
      <c r="J103" s="15"/>
      <c r="K103" s="15"/>
      <c r="L103" s="15"/>
      <c r="M103" s="15"/>
      <c r="N103" s="15"/>
      <c r="O103" s="53"/>
    </row>
    <row r="104" spans="1:15" x14ac:dyDescent="0.25">
      <c r="A104" s="16"/>
      <c r="B104" s="70"/>
      <c r="C104" s="66"/>
      <c r="D104" s="66"/>
      <c r="E104" s="66"/>
      <c r="F104" s="66"/>
      <c r="G104" s="54"/>
      <c r="H104" s="46"/>
      <c r="J104" s="15"/>
      <c r="K104" s="15"/>
      <c r="L104" s="15"/>
      <c r="M104" s="15"/>
      <c r="N104" s="15"/>
      <c r="O104" s="53"/>
    </row>
    <row r="105" spans="1:15" x14ac:dyDescent="0.25">
      <c r="A105" s="16"/>
      <c r="B105" s="68"/>
      <c r="C105" s="67"/>
      <c r="D105" s="68"/>
      <c r="E105" s="68"/>
      <c r="F105" s="68"/>
      <c r="G105" s="17"/>
      <c r="H105" s="16"/>
    </row>
    <row r="106" spans="1:15" x14ac:dyDescent="0.25">
      <c r="A106" s="16"/>
      <c r="B106" s="70"/>
      <c r="C106" s="67"/>
      <c r="D106" s="66"/>
      <c r="E106" s="66"/>
      <c r="F106" s="66"/>
      <c r="H106" s="16"/>
    </row>
    <row r="107" spans="1:15" x14ac:dyDescent="0.25">
      <c r="A107" s="16"/>
      <c r="B107" s="70"/>
      <c r="C107" s="66"/>
      <c r="D107" s="66"/>
      <c r="E107" s="66"/>
      <c r="F107" s="66"/>
      <c r="G107" s="17"/>
      <c r="H107" s="16"/>
    </row>
    <row r="108" spans="1:15" x14ac:dyDescent="0.25">
      <c r="A108" s="16"/>
      <c r="B108" s="46"/>
      <c r="C108" s="46"/>
      <c r="D108" s="46"/>
      <c r="E108" s="46"/>
      <c r="F108" s="46"/>
      <c r="G108" s="17"/>
      <c r="H108" s="16"/>
    </row>
    <row r="109" spans="1:15" x14ac:dyDescent="0.25">
      <c r="A109" s="16"/>
      <c r="B109" s="16"/>
      <c r="C109" s="16"/>
      <c r="D109" s="16"/>
      <c r="E109" s="16"/>
      <c r="F109" s="16"/>
      <c r="G109" s="17"/>
      <c r="H109" s="16"/>
    </row>
    <row r="110" spans="1:15" x14ac:dyDescent="0.25">
      <c r="A110" s="16"/>
      <c r="B110" s="16"/>
      <c r="C110" s="16"/>
      <c r="D110" s="16"/>
      <c r="E110" s="16"/>
      <c r="F110" s="16"/>
      <c r="G110" s="17"/>
      <c r="H110" s="16"/>
    </row>
    <row r="111" spans="1:15" x14ac:dyDescent="0.25">
      <c r="A111" s="16"/>
      <c r="B111" s="16"/>
      <c r="C111" s="16"/>
      <c r="D111" s="16"/>
      <c r="E111" s="16"/>
      <c r="F111" s="16"/>
      <c r="G111" s="17"/>
      <c r="H111" s="16"/>
    </row>
    <row r="112" spans="1:15" x14ac:dyDescent="0.25">
      <c r="A112" s="16"/>
      <c r="B112" s="16"/>
      <c r="C112" s="16"/>
      <c r="D112" s="16"/>
      <c r="E112" s="16"/>
      <c r="F112" s="16"/>
      <c r="G112" s="17"/>
      <c r="H112" s="16"/>
    </row>
    <row r="113" spans="1:21" x14ac:dyDescent="0.25">
      <c r="A113" s="16"/>
      <c r="B113" s="16"/>
      <c r="C113" s="16"/>
      <c r="D113" s="16"/>
      <c r="E113" s="16"/>
      <c r="F113" s="16"/>
      <c r="G113" s="17"/>
      <c r="H113" s="16"/>
    </row>
    <row r="114" spans="1:21" x14ac:dyDescent="0.25">
      <c r="A114" s="16"/>
      <c r="B114" s="16"/>
      <c r="C114" s="16"/>
      <c r="D114" s="16"/>
      <c r="E114" s="16"/>
      <c r="F114" s="16"/>
      <c r="G114" s="17"/>
      <c r="H114" s="16"/>
    </row>
    <row r="115" spans="1:21" s="128" customFormat="1" x14ac:dyDescent="0.25">
      <c r="A115" s="16"/>
      <c r="B115" s="16"/>
      <c r="C115" s="16"/>
      <c r="D115" s="16"/>
      <c r="E115" s="16"/>
      <c r="F115" s="16"/>
      <c r="G115" s="17"/>
      <c r="H115" s="16"/>
      <c r="J115"/>
      <c r="K115"/>
      <c r="L115"/>
      <c r="M115"/>
      <c r="N115"/>
      <c r="O115" s="13"/>
      <c r="P115"/>
      <c r="Q115" s="104"/>
      <c r="R115" s="6"/>
      <c r="S115"/>
      <c r="T115"/>
      <c r="U115"/>
    </row>
    <row r="116" spans="1:21" s="128" customFormat="1" x14ac:dyDescent="0.25">
      <c r="A116" s="16"/>
      <c r="B116" s="16"/>
      <c r="C116" s="16"/>
      <c r="D116" s="16"/>
      <c r="E116" s="16"/>
      <c r="F116" s="16"/>
      <c r="G116" s="17"/>
      <c r="H116" s="16"/>
      <c r="J116"/>
      <c r="K116"/>
      <c r="L116"/>
      <c r="M116"/>
      <c r="N116"/>
      <c r="O116" s="13"/>
      <c r="P116"/>
      <c r="Q116" s="104"/>
      <c r="R116" s="6"/>
      <c r="S116"/>
      <c r="T116"/>
      <c r="U116"/>
    </row>
    <row r="117" spans="1:21" s="128" customFormat="1" x14ac:dyDescent="0.25">
      <c r="A117" s="16"/>
      <c r="B117" s="16"/>
      <c r="C117" s="16"/>
      <c r="D117" s="16"/>
      <c r="E117" s="16"/>
      <c r="F117" s="16"/>
      <c r="G117" s="17"/>
      <c r="H117" s="16"/>
      <c r="J117"/>
      <c r="K117"/>
      <c r="L117"/>
      <c r="M117"/>
      <c r="N117"/>
      <c r="O117" s="13"/>
      <c r="P117"/>
      <c r="Q117" s="104"/>
      <c r="R117" s="6"/>
      <c r="S117"/>
      <c r="T117"/>
      <c r="U117"/>
    </row>
  </sheetData>
  <mergeCells count="3">
    <mergeCell ref="H1:K1"/>
    <mergeCell ref="B69:F69"/>
    <mergeCell ref="B70:F70"/>
  </mergeCells>
  <pageMargins left="0.60416666666666663" right="0.59375" top="1" bottom="0.75" header="0.55000000000000004" footer="0.3"/>
  <pageSetup fitToHeight="0" orientation="landscape" horizontalDpi="300" verticalDpi="300" r:id="rId1"/>
  <headerFooter>
    <oddHeader xml:space="preserve">&amp;C&amp;"Arial,Bold"&amp;12 Orange County Council of Governments
&amp;14 Revenues and Expenditures -  Adopted FY 18-19
 Budget
&amp;10 </oddHeader>
    <oddFooter>&amp;R&amp;"Arial,Bold"&amp;8 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68"/>
  <sheetViews>
    <sheetView topLeftCell="A2" zoomScale="70" zoomScaleNormal="70" zoomScaleSheetLayoutView="100" zoomScalePageLayoutView="70" workbookViewId="0">
      <selection activeCell="D2" sqref="D1:D1048576"/>
    </sheetView>
  </sheetViews>
  <sheetFormatPr defaultColWidth="10.7109375" defaultRowHeight="15" x14ac:dyDescent="0.2"/>
  <cols>
    <col min="1" max="1" width="3.28515625" style="242" customWidth="1"/>
    <col min="2" max="2" width="25.7109375" style="242" customWidth="1"/>
    <col min="3" max="3" width="11.42578125" style="242" customWidth="1"/>
    <col min="4" max="4" width="11.7109375" style="244" bestFit="1" customWidth="1"/>
    <col min="5" max="5" width="15.7109375" style="242" customWidth="1"/>
    <col min="6" max="6" width="13.140625" style="242" bestFit="1" customWidth="1"/>
    <col min="7" max="7" width="13.42578125" style="242" bestFit="1" customWidth="1"/>
    <col min="8" max="8" width="14.85546875" style="243" bestFit="1" customWidth="1"/>
    <col min="9" max="9" width="11" style="242" hidden="1" customWidth="1"/>
    <col min="10" max="10" width="23.7109375" style="242" hidden="1" customWidth="1"/>
    <col min="11" max="11" width="12.85546875" style="242" hidden="1" customWidth="1"/>
    <col min="12" max="12" width="11" style="242" hidden="1" customWidth="1"/>
    <col min="13" max="13" width="0" style="242" hidden="1" customWidth="1"/>
    <col min="14" max="14" width="13.7109375" style="242" hidden="1" customWidth="1"/>
    <col min="15" max="16384" width="10.7109375" style="242"/>
  </cols>
  <sheetData>
    <row r="1" spans="1:14" ht="15.75" x14ac:dyDescent="0.25">
      <c r="A1" s="312"/>
      <c r="B1" s="312" t="s">
        <v>214</v>
      </c>
      <c r="C1" s="312"/>
      <c r="D1" s="313"/>
      <c r="E1" s="312"/>
      <c r="F1" s="312"/>
      <c r="G1" s="311"/>
      <c r="H1" s="242"/>
    </row>
    <row r="2" spans="1:14" x14ac:dyDescent="0.2">
      <c r="G2" s="243"/>
      <c r="H2" s="242"/>
    </row>
    <row r="3" spans="1:14" ht="15.75" x14ac:dyDescent="0.25">
      <c r="B3" s="348" t="s">
        <v>248</v>
      </c>
      <c r="C3" s="348"/>
      <c r="D3" s="348"/>
      <c r="E3" s="348"/>
      <c r="F3" s="348"/>
      <c r="G3" s="348"/>
      <c r="H3" s="348"/>
    </row>
    <row r="4" spans="1:14" x14ac:dyDescent="0.2">
      <c r="B4" s="349" t="s">
        <v>249</v>
      </c>
      <c r="C4" s="349"/>
      <c r="D4" s="349"/>
      <c r="E4" s="349"/>
      <c r="F4" s="349"/>
      <c r="G4" s="349"/>
      <c r="H4" s="349"/>
      <c r="J4" s="242" t="s">
        <v>272</v>
      </c>
    </row>
    <row r="5" spans="1:14" x14ac:dyDescent="0.2">
      <c r="B5" s="310"/>
      <c r="C5" s="310"/>
      <c r="D5" s="310"/>
      <c r="E5" s="310"/>
      <c r="F5" s="310"/>
      <c r="G5" s="310"/>
      <c r="H5" s="310"/>
      <c r="J5" s="242" t="s">
        <v>271</v>
      </c>
    </row>
    <row r="6" spans="1:14" ht="63" x14ac:dyDescent="0.25">
      <c r="B6" s="309" t="s">
        <v>250</v>
      </c>
      <c r="C6" s="309" t="s">
        <v>211</v>
      </c>
      <c r="D6" s="308" t="s">
        <v>210</v>
      </c>
      <c r="E6" s="307" t="s">
        <v>251</v>
      </c>
      <c r="F6" s="307" t="s">
        <v>252</v>
      </c>
      <c r="G6" s="307" t="s">
        <v>253</v>
      </c>
      <c r="H6" s="306" t="s">
        <v>254</v>
      </c>
      <c r="I6" s="268"/>
      <c r="J6" s="305" t="s">
        <v>270</v>
      </c>
      <c r="K6" s="305"/>
      <c r="N6" s="242" t="s">
        <v>269</v>
      </c>
    </row>
    <row r="7" spans="1:14" x14ac:dyDescent="0.2">
      <c r="A7" s="304">
        <v>1</v>
      </c>
      <c r="B7" s="303" t="s">
        <v>206</v>
      </c>
      <c r="C7" s="302">
        <v>50044</v>
      </c>
      <c r="D7" s="301">
        <f t="shared" ref="D7:D40" si="0">C7/$C$48</f>
        <v>1.6322717782740595E-2</v>
      </c>
      <c r="E7" s="292">
        <f t="shared" ref="E7:E40" si="1">SUM(D7*H$56)</f>
        <v>2312.7098196282673</v>
      </c>
      <c r="F7" s="300">
        <f t="shared" ref="F7:F40" si="2">H$55/34</f>
        <v>2083.6256483183042</v>
      </c>
      <c r="G7" s="299"/>
      <c r="H7" s="298">
        <f t="shared" ref="H7:H40" si="3">SUM(E7+F7)</f>
        <v>4396.335467946572</v>
      </c>
      <c r="I7" s="272" t="b">
        <f t="shared" ref="I7:I40" si="4">J7=B7</f>
        <v>1</v>
      </c>
      <c r="J7" s="281" t="s">
        <v>206</v>
      </c>
      <c r="K7" s="280">
        <v>50044</v>
      </c>
      <c r="L7" s="254">
        <f t="shared" ref="L7:L40" si="5">C7-K7</f>
        <v>0</v>
      </c>
      <c r="N7" s="297">
        <v>4436.6329622109261</v>
      </c>
    </row>
    <row r="8" spans="1:14" x14ac:dyDescent="0.2">
      <c r="A8" s="288">
        <v>2</v>
      </c>
      <c r="B8" s="287" t="s">
        <v>205</v>
      </c>
      <c r="C8" s="295">
        <v>357325</v>
      </c>
      <c r="D8" s="285">
        <f t="shared" si="0"/>
        <v>0.11654774062260777</v>
      </c>
      <c r="E8" s="292">
        <f t="shared" si="1"/>
        <v>16513.249066794633</v>
      </c>
      <c r="F8" s="283">
        <f t="shared" si="2"/>
        <v>2083.6256483183042</v>
      </c>
      <c r="G8" s="291"/>
      <c r="H8" s="294">
        <f t="shared" si="3"/>
        <v>18596.874715112936</v>
      </c>
      <c r="I8" s="272" t="b">
        <f t="shared" si="4"/>
        <v>1</v>
      </c>
      <c r="J8" s="281" t="s">
        <v>205</v>
      </c>
      <c r="K8" s="280">
        <v>357325</v>
      </c>
      <c r="L8" s="254">
        <f t="shared" si="5"/>
        <v>0</v>
      </c>
      <c r="N8" s="279">
        <v>18542.538970105677</v>
      </c>
    </row>
    <row r="9" spans="1:14" x14ac:dyDescent="0.2">
      <c r="A9" s="288">
        <v>3</v>
      </c>
      <c r="B9" s="287" t="s">
        <v>204</v>
      </c>
      <c r="C9" s="295">
        <v>45629</v>
      </c>
      <c r="D9" s="285">
        <f t="shared" si="0"/>
        <v>1.4882689027828922E-2</v>
      </c>
      <c r="E9" s="292">
        <f t="shared" si="1"/>
        <v>2108.6770913559708</v>
      </c>
      <c r="F9" s="283">
        <f t="shared" si="2"/>
        <v>2083.6256483183042</v>
      </c>
      <c r="G9" s="291"/>
      <c r="H9" s="296">
        <f t="shared" si="3"/>
        <v>4192.3027396742746</v>
      </c>
      <c r="I9" s="272" t="b">
        <f t="shared" si="4"/>
        <v>1</v>
      </c>
      <c r="J9" s="281" t="s">
        <v>204</v>
      </c>
      <c r="K9" s="280">
        <v>45629</v>
      </c>
      <c r="L9" s="254">
        <f t="shared" si="5"/>
        <v>0</v>
      </c>
      <c r="N9" s="279">
        <v>4172.5311135014181</v>
      </c>
    </row>
    <row r="10" spans="1:14" x14ac:dyDescent="0.2">
      <c r="A10" s="288">
        <v>4</v>
      </c>
      <c r="B10" s="287" t="s">
        <v>203</v>
      </c>
      <c r="C10" s="295">
        <v>81998</v>
      </c>
      <c r="D10" s="285">
        <f t="shared" si="0"/>
        <v>2.6745068594619999E-2</v>
      </c>
      <c r="E10" s="292">
        <f t="shared" si="1"/>
        <v>3789.4169089177258</v>
      </c>
      <c r="F10" s="283">
        <f t="shared" si="2"/>
        <v>2083.6256483183042</v>
      </c>
      <c r="G10" s="291"/>
      <c r="H10" s="294">
        <f t="shared" si="3"/>
        <v>5873.04255723603</v>
      </c>
      <c r="I10" s="272" t="b">
        <f t="shared" si="4"/>
        <v>1</v>
      </c>
      <c r="J10" s="281" t="s">
        <v>203</v>
      </c>
      <c r="K10" s="280">
        <v>81998</v>
      </c>
      <c r="L10" s="254">
        <f t="shared" si="5"/>
        <v>0</v>
      </c>
      <c r="N10" s="279">
        <v>5902.8883178974993</v>
      </c>
    </row>
    <row r="11" spans="1:14" x14ac:dyDescent="0.2">
      <c r="A11" s="288">
        <v>5</v>
      </c>
      <c r="B11" s="287" t="s">
        <v>202</v>
      </c>
      <c r="C11" s="295">
        <v>114778</v>
      </c>
      <c r="D11" s="285">
        <f t="shared" si="0"/>
        <v>3.7436833619762612E-2</v>
      </c>
      <c r="E11" s="292">
        <f t="shared" si="1"/>
        <v>5304.2963727378565</v>
      </c>
      <c r="F11" s="283">
        <f t="shared" si="2"/>
        <v>2083.6256483183042</v>
      </c>
      <c r="G11" s="291"/>
      <c r="H11" s="294">
        <f t="shared" si="3"/>
        <v>7387.9220210561607</v>
      </c>
      <c r="I11" s="272" t="b">
        <f t="shared" si="4"/>
        <v>1</v>
      </c>
      <c r="J11" s="281" t="s">
        <v>202</v>
      </c>
      <c r="K11" s="280">
        <v>114778</v>
      </c>
      <c r="L11" s="254">
        <f t="shared" si="5"/>
        <v>0</v>
      </c>
      <c r="N11" s="279">
        <v>7389.0223073579045</v>
      </c>
    </row>
    <row r="12" spans="1:14" x14ac:dyDescent="0.2">
      <c r="A12" s="288">
        <v>6</v>
      </c>
      <c r="B12" s="287" t="s">
        <v>201</v>
      </c>
      <c r="C12" s="295">
        <v>49272</v>
      </c>
      <c r="D12" s="285">
        <f t="shared" si="0"/>
        <v>1.6070916605211306E-2</v>
      </c>
      <c r="E12" s="292">
        <f t="shared" si="1"/>
        <v>2277.0329756359201</v>
      </c>
      <c r="F12" s="283">
        <f t="shared" si="2"/>
        <v>2083.6256483183042</v>
      </c>
      <c r="G12" s="291"/>
      <c r="H12" s="294">
        <f t="shared" si="3"/>
        <v>4360.6586239542248</v>
      </c>
      <c r="I12" s="272" t="b">
        <f t="shared" si="4"/>
        <v>1</v>
      </c>
      <c r="J12" s="281" t="s">
        <v>201</v>
      </c>
      <c r="K12" s="280">
        <v>49272</v>
      </c>
      <c r="L12" s="254">
        <f t="shared" si="5"/>
        <v>0</v>
      </c>
      <c r="N12" s="279">
        <v>4366.1416779299798</v>
      </c>
    </row>
    <row r="13" spans="1:14" x14ac:dyDescent="0.2">
      <c r="A13" s="288">
        <v>7</v>
      </c>
      <c r="B13" s="287" t="s">
        <v>200</v>
      </c>
      <c r="C13" s="295">
        <v>33146</v>
      </c>
      <c r="D13" s="285">
        <f t="shared" si="0"/>
        <v>1.0811142267339136E-2</v>
      </c>
      <c r="E13" s="292">
        <f t="shared" si="1"/>
        <v>1531.7936152465541</v>
      </c>
      <c r="F13" s="283">
        <f t="shared" si="2"/>
        <v>2083.6256483183042</v>
      </c>
      <c r="G13" s="291"/>
      <c r="H13" s="294">
        <f t="shared" si="3"/>
        <v>3615.4192635648583</v>
      </c>
      <c r="I13" s="272" t="b">
        <f t="shared" si="4"/>
        <v>1</v>
      </c>
      <c r="J13" s="281" t="s">
        <v>200</v>
      </c>
      <c r="K13" s="280">
        <v>33146</v>
      </c>
      <c r="L13" s="254">
        <f t="shared" si="5"/>
        <v>0</v>
      </c>
      <c r="N13" s="279">
        <v>3652.3429942170114</v>
      </c>
    </row>
    <row r="14" spans="1:14" x14ac:dyDescent="0.2">
      <c r="A14" s="288">
        <v>8</v>
      </c>
      <c r="B14" s="287" t="s">
        <v>199</v>
      </c>
      <c r="C14" s="295">
        <v>55878</v>
      </c>
      <c r="D14" s="285">
        <f t="shared" si="0"/>
        <v>1.8225577976660117E-2</v>
      </c>
      <c r="E14" s="292">
        <f t="shared" si="1"/>
        <v>2582.3195448243209</v>
      </c>
      <c r="F14" s="283">
        <f t="shared" si="2"/>
        <v>2083.6256483183042</v>
      </c>
      <c r="G14" s="291"/>
      <c r="H14" s="294">
        <f t="shared" si="3"/>
        <v>4665.9451931426247</v>
      </c>
      <c r="I14" s="272" t="b">
        <f t="shared" si="4"/>
        <v>1</v>
      </c>
      <c r="J14" s="281" t="s">
        <v>199</v>
      </c>
      <c r="K14" s="280">
        <v>55878</v>
      </c>
      <c r="L14" s="254">
        <f t="shared" si="5"/>
        <v>0</v>
      </c>
      <c r="N14" s="314">
        <v>4678.4744053580307</v>
      </c>
    </row>
    <row r="15" spans="1:14" x14ac:dyDescent="0.2">
      <c r="A15" s="288">
        <v>9</v>
      </c>
      <c r="B15" s="287" t="s">
        <v>198</v>
      </c>
      <c r="C15" s="295">
        <v>141863</v>
      </c>
      <c r="D15" s="285">
        <f t="shared" si="0"/>
        <v>4.6271075709634103E-2</v>
      </c>
      <c r="E15" s="292">
        <f t="shared" si="1"/>
        <v>6555.9897918216948</v>
      </c>
      <c r="F15" s="283">
        <f t="shared" si="2"/>
        <v>2083.6256483183042</v>
      </c>
      <c r="G15" s="291"/>
      <c r="H15" s="294">
        <f t="shared" si="3"/>
        <v>8639.6154401399981</v>
      </c>
      <c r="I15" s="272" t="b">
        <f t="shared" si="4"/>
        <v>1</v>
      </c>
      <c r="J15" s="281" t="s">
        <v>198</v>
      </c>
      <c r="K15" s="280">
        <v>141863</v>
      </c>
      <c r="L15" s="254">
        <f t="shared" si="5"/>
        <v>0</v>
      </c>
      <c r="N15" s="316">
        <v>8625.4366854474756</v>
      </c>
    </row>
    <row r="16" spans="1:14" x14ac:dyDescent="0.2">
      <c r="A16" s="288">
        <v>10</v>
      </c>
      <c r="B16" s="287" t="s">
        <v>197</v>
      </c>
      <c r="C16" s="295">
        <v>174801</v>
      </c>
      <c r="D16" s="285">
        <f t="shared" si="0"/>
        <v>5.7014375172664833E-2</v>
      </c>
      <c r="E16" s="292">
        <f t="shared" si="1"/>
        <v>8078.1709931428504</v>
      </c>
      <c r="F16" s="283">
        <f t="shared" si="2"/>
        <v>2083.6256483183042</v>
      </c>
      <c r="G16" s="291"/>
      <c r="H16" s="294">
        <f t="shared" si="3"/>
        <v>10161.796641461155</v>
      </c>
      <c r="I16" s="272" t="b">
        <f t="shared" si="4"/>
        <v>1</v>
      </c>
      <c r="J16" s="281" t="s">
        <v>197</v>
      </c>
      <c r="K16" s="280">
        <v>174801</v>
      </c>
      <c r="L16" s="254">
        <f t="shared" si="5"/>
        <v>0</v>
      </c>
      <c r="N16" s="315">
        <v>10106.303294990852</v>
      </c>
    </row>
    <row r="17" spans="1:14" x14ac:dyDescent="0.2">
      <c r="A17" s="288">
        <v>11</v>
      </c>
      <c r="B17" s="287" t="s">
        <v>196</v>
      </c>
      <c r="C17" s="295">
        <v>201281</v>
      </c>
      <c r="D17" s="285">
        <f t="shared" si="0"/>
        <v>6.56512860288508E-2</v>
      </c>
      <c r="E17" s="292">
        <f t="shared" si="1"/>
        <v>9301.9052274917522</v>
      </c>
      <c r="F17" s="283">
        <f t="shared" si="2"/>
        <v>2083.6256483183042</v>
      </c>
      <c r="G17" s="291"/>
      <c r="H17" s="294">
        <f t="shared" si="3"/>
        <v>11385.530875810056</v>
      </c>
      <c r="I17" s="272" t="b">
        <f t="shared" si="4"/>
        <v>1</v>
      </c>
      <c r="J17" s="281" t="s">
        <v>196</v>
      </c>
      <c r="K17" s="280">
        <v>201281</v>
      </c>
      <c r="L17" s="254">
        <f t="shared" si="5"/>
        <v>0</v>
      </c>
      <c r="N17" s="279">
        <v>11416.552598526094</v>
      </c>
    </row>
    <row r="18" spans="1:14" x14ac:dyDescent="0.2">
      <c r="A18" s="288">
        <v>12</v>
      </c>
      <c r="B18" s="287" t="s">
        <v>195</v>
      </c>
      <c r="C18" s="295">
        <v>281707</v>
      </c>
      <c r="D18" s="285">
        <f t="shared" si="0"/>
        <v>9.1883619583216863E-2</v>
      </c>
      <c r="E18" s="292">
        <f t="shared" si="1"/>
        <v>13018.674469627134</v>
      </c>
      <c r="F18" s="283">
        <f t="shared" si="2"/>
        <v>2083.6256483183042</v>
      </c>
      <c r="G18" s="291"/>
      <c r="H18" s="294">
        <f t="shared" si="3"/>
        <v>15102.300117945439</v>
      </c>
      <c r="I18" s="272" t="b">
        <f t="shared" si="4"/>
        <v>1</v>
      </c>
      <c r="J18" s="281" t="s">
        <v>195</v>
      </c>
      <c r="K18" s="280">
        <v>281707</v>
      </c>
      <c r="L18" s="254">
        <f t="shared" si="5"/>
        <v>0</v>
      </c>
      <c r="N18" s="279">
        <v>14917.802931027571</v>
      </c>
    </row>
    <row r="19" spans="1:14" x14ac:dyDescent="0.2">
      <c r="A19" s="288">
        <v>13</v>
      </c>
      <c r="B19" s="287" t="s">
        <v>194</v>
      </c>
      <c r="C19" s="295">
        <v>22343</v>
      </c>
      <c r="D19" s="285">
        <f t="shared" si="0"/>
        <v>7.2875566185711194E-3</v>
      </c>
      <c r="E19" s="292">
        <f t="shared" si="1"/>
        <v>1032.548866996131</v>
      </c>
      <c r="F19" s="283">
        <f t="shared" si="2"/>
        <v>2083.6256483183042</v>
      </c>
      <c r="G19" s="291"/>
      <c r="H19" s="294">
        <f t="shared" si="3"/>
        <v>3116.1745153144352</v>
      </c>
      <c r="I19" s="272" t="b">
        <f t="shared" si="4"/>
        <v>1</v>
      </c>
      <c r="J19" s="281" t="s">
        <v>194</v>
      </c>
      <c r="K19" s="280">
        <v>22343</v>
      </c>
      <c r="L19" s="254">
        <f t="shared" si="5"/>
        <v>0</v>
      </c>
      <c r="N19" s="279">
        <v>3153.4992144224825</v>
      </c>
    </row>
    <row r="20" spans="1:14" x14ac:dyDescent="0.2">
      <c r="A20" s="288">
        <v>14</v>
      </c>
      <c r="B20" s="287" t="s">
        <v>193</v>
      </c>
      <c r="C20" s="295">
        <v>31508</v>
      </c>
      <c r="D20" s="285">
        <f t="shared" si="0"/>
        <v>1.0276880183410412E-2</v>
      </c>
      <c r="E20" s="292">
        <f t="shared" si="1"/>
        <v>1456.095855584035</v>
      </c>
      <c r="F20" s="283">
        <f t="shared" si="2"/>
        <v>2083.6256483183042</v>
      </c>
      <c r="G20" s="291"/>
      <c r="H20" s="294">
        <f t="shared" si="3"/>
        <v>3539.7215039023395</v>
      </c>
      <c r="I20" s="272" t="b">
        <f t="shared" si="4"/>
        <v>1</v>
      </c>
      <c r="J20" s="281" t="s">
        <v>193</v>
      </c>
      <c r="K20" s="280">
        <v>31508</v>
      </c>
      <c r="L20" s="254">
        <f t="shared" si="5"/>
        <v>0</v>
      </c>
      <c r="N20" s="279">
        <v>3529.727550409285</v>
      </c>
    </row>
    <row r="21" spans="1:14" x14ac:dyDescent="0.2">
      <c r="A21" s="288">
        <v>15</v>
      </c>
      <c r="B21" s="287" t="s">
        <v>192</v>
      </c>
      <c r="C21" s="295">
        <v>65316</v>
      </c>
      <c r="D21" s="285">
        <f t="shared" si="0"/>
        <v>2.1303945222154199E-2</v>
      </c>
      <c r="E21" s="292">
        <f t="shared" si="1"/>
        <v>3018.4828266893119</v>
      </c>
      <c r="F21" s="283">
        <f t="shared" si="2"/>
        <v>2083.6256483183042</v>
      </c>
      <c r="G21" s="291"/>
      <c r="H21" s="294">
        <f t="shared" si="3"/>
        <v>5102.1084750076161</v>
      </c>
      <c r="I21" s="272" t="b">
        <f t="shared" si="4"/>
        <v>1</v>
      </c>
      <c r="J21" s="281" t="s">
        <v>192</v>
      </c>
      <c r="K21" s="280">
        <v>65316</v>
      </c>
      <c r="L21" s="254">
        <f t="shared" si="5"/>
        <v>0</v>
      </c>
      <c r="N21" s="279">
        <v>5140.9045587696146</v>
      </c>
    </row>
    <row r="22" spans="1:14" x14ac:dyDescent="0.2">
      <c r="A22" s="288">
        <v>16</v>
      </c>
      <c r="B22" s="287" t="s">
        <v>191</v>
      </c>
      <c r="C22" s="295">
        <v>16243</v>
      </c>
      <c r="D22" s="285">
        <f t="shared" si="0"/>
        <v>5.2979359152956493E-3</v>
      </c>
      <c r="E22" s="292">
        <f t="shared" si="1"/>
        <v>750.64634322240317</v>
      </c>
      <c r="F22" s="283">
        <f t="shared" si="2"/>
        <v>2083.6256483183042</v>
      </c>
      <c r="G22" s="291"/>
      <c r="H22" s="294">
        <f t="shared" si="3"/>
        <v>2834.2719915407074</v>
      </c>
      <c r="I22" s="272" t="b">
        <f t="shared" si="4"/>
        <v>1</v>
      </c>
      <c r="J22" s="281" t="s">
        <v>191</v>
      </c>
      <c r="K22" s="280">
        <v>16243</v>
      </c>
      <c r="L22" s="254">
        <f t="shared" si="5"/>
        <v>0</v>
      </c>
      <c r="N22" s="279">
        <v>2840.2046176182794</v>
      </c>
    </row>
    <row r="23" spans="1:14" x14ac:dyDescent="0.2">
      <c r="A23" s="288">
        <v>17</v>
      </c>
      <c r="B23" s="287" t="s">
        <v>190</v>
      </c>
      <c r="C23" s="295">
        <v>63371</v>
      </c>
      <c r="D23" s="285">
        <f t="shared" si="0"/>
        <v>2.0669549768404887E-2</v>
      </c>
      <c r="E23" s="292">
        <f t="shared" si="1"/>
        <v>2928.5975137811311</v>
      </c>
      <c r="F23" s="283">
        <f t="shared" si="2"/>
        <v>2083.6256483183042</v>
      </c>
      <c r="G23" s="291"/>
      <c r="H23" s="294">
        <f t="shared" si="3"/>
        <v>5012.2231620994353</v>
      </c>
      <c r="I23" s="272" t="b">
        <f t="shared" si="4"/>
        <v>1</v>
      </c>
      <c r="J23" s="281" t="s">
        <v>190</v>
      </c>
      <c r="K23" s="280">
        <v>63371</v>
      </c>
      <c r="L23" s="254">
        <f t="shared" si="5"/>
        <v>0</v>
      </c>
      <c r="N23" s="279">
        <v>4994.0591673435511</v>
      </c>
    </row>
    <row r="24" spans="1:14" x14ac:dyDescent="0.2">
      <c r="A24" s="288">
        <v>18</v>
      </c>
      <c r="B24" s="287" t="s">
        <v>189</v>
      </c>
      <c r="C24" s="295">
        <v>84711</v>
      </c>
      <c r="D24" s="285">
        <f t="shared" si="0"/>
        <v>2.7629960556584975E-2</v>
      </c>
      <c r="E24" s="292">
        <f t="shared" si="1"/>
        <v>3914.7942117043031</v>
      </c>
      <c r="F24" s="283">
        <f t="shared" si="2"/>
        <v>2083.6256483183042</v>
      </c>
      <c r="G24" s="291"/>
      <c r="H24" s="294">
        <f t="shared" si="3"/>
        <v>5998.4198600226073</v>
      </c>
      <c r="I24" s="272" t="b">
        <f t="shared" si="4"/>
        <v>1</v>
      </c>
      <c r="J24" s="281" t="s">
        <v>189</v>
      </c>
      <c r="K24" s="280">
        <v>84711</v>
      </c>
      <c r="L24" s="254">
        <f t="shared" si="5"/>
        <v>0</v>
      </c>
      <c r="N24" s="279">
        <v>6038.5577032387337</v>
      </c>
    </row>
    <row r="25" spans="1:14" x14ac:dyDescent="0.2">
      <c r="A25" s="288">
        <v>19</v>
      </c>
      <c r="B25" s="287" t="s">
        <v>188</v>
      </c>
      <c r="C25" s="295">
        <v>15492</v>
      </c>
      <c r="D25" s="285">
        <f t="shared" si="0"/>
        <v>5.0529842516628823E-3</v>
      </c>
      <c r="E25" s="292">
        <f t="shared" si="1"/>
        <v>715.93998332829347</v>
      </c>
      <c r="F25" s="283">
        <f t="shared" si="2"/>
        <v>2083.6256483183042</v>
      </c>
      <c r="G25" s="291"/>
      <c r="H25" s="294">
        <f t="shared" si="3"/>
        <v>2799.5656316465975</v>
      </c>
      <c r="I25" s="272" t="b">
        <f t="shared" si="4"/>
        <v>1</v>
      </c>
      <c r="J25" s="281" t="s">
        <v>188</v>
      </c>
      <c r="K25" s="280">
        <v>15492</v>
      </c>
      <c r="L25" s="254">
        <f t="shared" si="5"/>
        <v>0</v>
      </c>
      <c r="N25" s="279">
        <v>2808.2339116870903</v>
      </c>
    </row>
    <row r="26" spans="1:14" x14ac:dyDescent="0.2">
      <c r="A26" s="288">
        <v>20</v>
      </c>
      <c r="B26" s="287" t="s">
        <v>187</v>
      </c>
      <c r="C26" s="295">
        <v>11567</v>
      </c>
      <c r="D26" s="285">
        <f t="shared" si="0"/>
        <v>3.7727774876700594E-3</v>
      </c>
      <c r="E26" s="292">
        <f t="shared" si="1"/>
        <v>534.55188401487032</v>
      </c>
      <c r="F26" s="283">
        <f t="shared" si="2"/>
        <v>2083.6256483183042</v>
      </c>
      <c r="G26" s="291"/>
      <c r="H26" s="294">
        <f t="shared" si="3"/>
        <v>2618.1775323331744</v>
      </c>
      <c r="I26" s="272" t="b">
        <f t="shared" si="4"/>
        <v>1</v>
      </c>
      <c r="J26" s="281" t="s">
        <v>187</v>
      </c>
      <c r="K26" s="280">
        <v>11567</v>
      </c>
      <c r="L26" s="254">
        <f t="shared" si="5"/>
        <v>0</v>
      </c>
      <c r="N26" s="279">
        <v>2620.4861701227001</v>
      </c>
    </row>
    <row r="27" spans="1:14" x14ac:dyDescent="0.2">
      <c r="A27" s="288">
        <v>21</v>
      </c>
      <c r="B27" s="287" t="s">
        <v>186</v>
      </c>
      <c r="C27" s="295">
        <v>94267</v>
      </c>
      <c r="D27" s="285">
        <f t="shared" si="0"/>
        <v>3.0746815546830942E-2</v>
      </c>
      <c r="E27" s="292">
        <f t="shared" si="1"/>
        <v>4356.4106899308181</v>
      </c>
      <c r="F27" s="283">
        <f t="shared" si="2"/>
        <v>2083.6256483183042</v>
      </c>
      <c r="G27" s="291"/>
      <c r="H27" s="294">
        <f t="shared" si="3"/>
        <v>6440.0363382491223</v>
      </c>
      <c r="I27" s="272" t="b">
        <f t="shared" si="4"/>
        <v>1</v>
      </c>
      <c r="J27" s="281" t="s">
        <v>186</v>
      </c>
      <c r="K27" s="280">
        <v>94267</v>
      </c>
      <c r="L27" s="254">
        <f t="shared" si="5"/>
        <v>0</v>
      </c>
      <c r="N27" s="279">
        <v>6500.6214302213075</v>
      </c>
    </row>
    <row r="28" spans="1:14" x14ac:dyDescent="0.2">
      <c r="A28" s="288">
        <v>22</v>
      </c>
      <c r="B28" s="287" t="s">
        <v>185</v>
      </c>
      <c r="C28" s="295">
        <v>85780</v>
      </c>
      <c r="D28" s="285">
        <f t="shared" si="0"/>
        <v>2.7978633430650792E-2</v>
      </c>
      <c r="E28" s="292">
        <f t="shared" si="1"/>
        <v>3964.1964736574369</v>
      </c>
      <c r="F28" s="283">
        <f t="shared" si="2"/>
        <v>2083.6256483183042</v>
      </c>
      <c r="G28" s="291"/>
      <c r="H28" s="294">
        <f t="shared" si="3"/>
        <v>6047.8221219757415</v>
      </c>
      <c r="I28" s="272" t="b">
        <f t="shared" si="4"/>
        <v>1</v>
      </c>
      <c r="J28" s="281" t="s">
        <v>185</v>
      </c>
      <c r="K28" s="280">
        <v>85780</v>
      </c>
      <c r="L28" s="254">
        <f t="shared" si="5"/>
        <v>0</v>
      </c>
      <c r="N28" s="279">
        <v>6076.7576584631061</v>
      </c>
    </row>
    <row r="29" spans="1:14" x14ac:dyDescent="0.2">
      <c r="A29" s="288">
        <v>23</v>
      </c>
      <c r="B29" s="287" t="s">
        <v>184</v>
      </c>
      <c r="C29" s="295">
        <v>140065</v>
      </c>
      <c r="D29" s="285">
        <f t="shared" si="0"/>
        <v>4.5684626853160444E-2</v>
      </c>
      <c r="E29" s="292">
        <f t="shared" si="1"/>
        <v>6472.8978676011757</v>
      </c>
      <c r="F29" s="283">
        <f t="shared" si="2"/>
        <v>2083.6256483183042</v>
      </c>
      <c r="G29" s="291"/>
      <c r="H29" s="294">
        <f t="shared" si="3"/>
        <v>8556.5235159194799</v>
      </c>
      <c r="I29" s="272" t="b">
        <f t="shared" si="4"/>
        <v>1</v>
      </c>
      <c r="J29" s="281" t="s">
        <v>184</v>
      </c>
      <c r="K29" s="280">
        <v>140065</v>
      </c>
      <c r="L29" s="254">
        <f t="shared" si="5"/>
        <v>0</v>
      </c>
      <c r="N29" s="279">
        <v>8573.5415424388266</v>
      </c>
    </row>
    <row r="30" spans="1:14" x14ac:dyDescent="0.2">
      <c r="A30" s="288">
        <v>24</v>
      </c>
      <c r="B30" s="287" t="s">
        <v>183</v>
      </c>
      <c r="C30" s="295">
        <v>51494</v>
      </c>
      <c r="D30" s="285">
        <f t="shared" si="0"/>
        <v>1.6795660408929027E-2</v>
      </c>
      <c r="E30" s="292">
        <f t="shared" si="1"/>
        <v>2379.719435935137</v>
      </c>
      <c r="F30" s="283">
        <f t="shared" si="2"/>
        <v>2083.6256483183042</v>
      </c>
      <c r="G30" s="291"/>
      <c r="H30" s="294">
        <f t="shared" si="3"/>
        <v>4463.3450842534412</v>
      </c>
      <c r="I30" s="272" t="b">
        <f t="shared" si="4"/>
        <v>1</v>
      </c>
      <c r="J30" s="281" t="s">
        <v>183</v>
      </c>
      <c r="K30" s="280">
        <v>51494</v>
      </c>
      <c r="L30" s="254">
        <f t="shared" si="5"/>
        <v>0</v>
      </c>
      <c r="N30" s="279">
        <v>4480.6499369958437</v>
      </c>
    </row>
    <row r="31" spans="1:14" x14ac:dyDescent="0.2">
      <c r="A31" s="288">
        <v>25</v>
      </c>
      <c r="B31" s="287" t="s">
        <v>182</v>
      </c>
      <c r="C31" s="295">
        <v>48793</v>
      </c>
      <c r="D31" s="285">
        <f t="shared" si="0"/>
        <v>1.5914682454904922E-2</v>
      </c>
      <c r="E31" s="292">
        <f t="shared" si="1"/>
        <v>2254.8966954904095</v>
      </c>
      <c r="F31" s="283">
        <f t="shared" si="2"/>
        <v>2083.6256483183042</v>
      </c>
      <c r="G31" s="291"/>
      <c r="H31" s="294">
        <f t="shared" si="3"/>
        <v>4338.5223438087141</v>
      </c>
      <c r="I31" s="272" t="b">
        <f t="shared" si="4"/>
        <v>1</v>
      </c>
      <c r="J31" s="281" t="s">
        <v>182</v>
      </c>
      <c r="K31" s="280">
        <v>48793</v>
      </c>
      <c r="L31" s="254">
        <f t="shared" si="5"/>
        <v>0</v>
      </c>
      <c r="N31" s="279">
        <v>4326.155393864181</v>
      </c>
    </row>
    <row r="32" spans="1:14" x14ac:dyDescent="0.2">
      <c r="A32" s="288">
        <v>26</v>
      </c>
      <c r="B32" s="287" t="s">
        <v>181</v>
      </c>
      <c r="C32" s="295">
        <v>64581</v>
      </c>
      <c r="D32" s="285">
        <f t="shared" si="0"/>
        <v>2.1064212235775925E-2</v>
      </c>
      <c r="E32" s="292">
        <f t="shared" si="1"/>
        <v>2984.5158832510019</v>
      </c>
      <c r="F32" s="283">
        <f t="shared" si="2"/>
        <v>2083.6256483183042</v>
      </c>
      <c r="G32" s="291"/>
      <c r="H32" s="294">
        <f t="shared" si="3"/>
        <v>5068.1415315693066</v>
      </c>
      <c r="I32" s="272" t="b">
        <f t="shared" si="4"/>
        <v>1</v>
      </c>
      <c r="J32" s="281" t="s">
        <v>181</v>
      </c>
      <c r="K32" s="280">
        <v>64581</v>
      </c>
      <c r="L32" s="254">
        <f t="shared" si="5"/>
        <v>0</v>
      </c>
      <c r="N32" s="279">
        <v>5079.3907219994326</v>
      </c>
    </row>
    <row r="33" spans="1:14" x14ac:dyDescent="0.2">
      <c r="A33" s="288">
        <v>27</v>
      </c>
      <c r="B33" s="287" t="s">
        <v>180</v>
      </c>
      <c r="C33" s="295">
        <v>36318</v>
      </c>
      <c r="D33" s="285">
        <f t="shared" si="0"/>
        <v>1.1845745033042381E-2</v>
      </c>
      <c r="E33" s="292">
        <f t="shared" si="1"/>
        <v>1678.3829276088925</v>
      </c>
      <c r="F33" s="283">
        <f t="shared" si="2"/>
        <v>2083.6256483183042</v>
      </c>
      <c r="G33" s="291"/>
      <c r="H33" s="294">
        <f t="shared" si="3"/>
        <v>3762.0085759271969</v>
      </c>
      <c r="I33" s="272" t="b">
        <f t="shared" si="4"/>
        <v>1</v>
      </c>
      <c r="J33" s="281" t="s">
        <v>180</v>
      </c>
      <c r="K33" s="280">
        <v>36318</v>
      </c>
      <c r="L33" s="254">
        <f t="shared" si="5"/>
        <v>0</v>
      </c>
      <c r="N33" s="279">
        <v>3770.1490911439723</v>
      </c>
    </row>
    <row r="34" spans="1:14" x14ac:dyDescent="0.2">
      <c r="A34" s="288">
        <v>28</v>
      </c>
      <c r="B34" s="287" t="s">
        <v>179</v>
      </c>
      <c r="C34" s="295">
        <v>335052</v>
      </c>
      <c r="D34" s="285">
        <f t="shared" si="0"/>
        <v>0.10928301571702505</v>
      </c>
      <c r="E34" s="292">
        <f t="shared" si="1"/>
        <v>15483.935146792626</v>
      </c>
      <c r="F34" s="283">
        <f t="shared" si="2"/>
        <v>2083.6256483183042</v>
      </c>
      <c r="G34" s="291"/>
      <c r="H34" s="294">
        <f t="shared" si="3"/>
        <v>17567.56079511093</v>
      </c>
      <c r="I34" s="272" t="b">
        <f t="shared" si="4"/>
        <v>1</v>
      </c>
      <c r="J34" s="281" t="s">
        <v>179</v>
      </c>
      <c r="K34" s="280">
        <v>335052</v>
      </c>
      <c r="L34" s="254">
        <f t="shared" si="5"/>
        <v>0</v>
      </c>
      <c r="N34" s="279">
        <v>17552.134135793207</v>
      </c>
    </row>
    <row r="35" spans="1:14" x14ac:dyDescent="0.2">
      <c r="A35" s="288">
        <v>29</v>
      </c>
      <c r="B35" s="287" t="s">
        <v>178</v>
      </c>
      <c r="C35" s="295">
        <v>24992</v>
      </c>
      <c r="D35" s="285">
        <f t="shared" si="0"/>
        <v>8.1515738715181238E-3</v>
      </c>
      <c r="E35" s="292">
        <f t="shared" si="1"/>
        <v>1154.968503959509</v>
      </c>
      <c r="F35" s="283">
        <f t="shared" si="2"/>
        <v>2083.6256483183042</v>
      </c>
      <c r="G35" s="291"/>
      <c r="H35" s="294">
        <f t="shared" si="3"/>
        <v>3238.594152277813</v>
      </c>
      <c r="I35" s="272" t="b">
        <f t="shared" si="4"/>
        <v>1</v>
      </c>
      <c r="J35" s="281" t="s">
        <v>178</v>
      </c>
      <c r="K35" s="280">
        <v>24992</v>
      </c>
      <c r="L35" s="254">
        <f t="shared" si="5"/>
        <v>0</v>
      </c>
      <c r="N35" s="279">
        <v>3232.0518801416656</v>
      </c>
    </row>
    <row r="36" spans="1:14" x14ac:dyDescent="0.2">
      <c r="A36" s="288">
        <v>30</v>
      </c>
      <c r="B36" s="287" t="s">
        <v>177</v>
      </c>
      <c r="C36" s="295">
        <v>39077</v>
      </c>
      <c r="D36" s="285">
        <f t="shared" si="0"/>
        <v>1.2745640692114025E-2</v>
      </c>
      <c r="E36" s="292">
        <f t="shared" si="1"/>
        <v>1805.8860527058951</v>
      </c>
      <c r="F36" s="283">
        <f t="shared" si="2"/>
        <v>2083.6256483183042</v>
      </c>
      <c r="G36" s="291"/>
      <c r="H36" s="294">
        <f t="shared" si="3"/>
        <v>3889.5117010241993</v>
      </c>
      <c r="I36" s="272" t="b">
        <f t="shared" si="4"/>
        <v>1</v>
      </c>
      <c r="J36" s="281" t="s">
        <v>177</v>
      </c>
      <c r="K36" s="280">
        <v>39077</v>
      </c>
      <c r="L36" s="254">
        <f t="shared" si="5"/>
        <v>0</v>
      </c>
      <c r="N36" s="279">
        <v>3884.0161039590676</v>
      </c>
    </row>
    <row r="37" spans="1:14" x14ac:dyDescent="0.2">
      <c r="A37" s="288">
        <v>31</v>
      </c>
      <c r="B37" s="287" t="s">
        <v>176</v>
      </c>
      <c r="C37" s="295">
        <v>80382</v>
      </c>
      <c r="D37" s="285">
        <f t="shared" si="0"/>
        <v>2.6217982191916202E-2</v>
      </c>
      <c r="E37" s="292">
        <f t="shared" si="1"/>
        <v>3714.7358468819316</v>
      </c>
      <c r="F37" s="283">
        <f t="shared" si="2"/>
        <v>2083.6256483183042</v>
      </c>
      <c r="G37" s="291"/>
      <c r="H37" s="294">
        <f t="shared" si="3"/>
        <v>5798.3614952002354</v>
      </c>
      <c r="I37" s="272" t="b">
        <f t="shared" si="4"/>
        <v>1</v>
      </c>
      <c r="J37" s="281" t="s">
        <v>176</v>
      </c>
      <c r="K37" s="280">
        <v>80382</v>
      </c>
      <c r="L37" s="254">
        <f t="shared" si="5"/>
        <v>0</v>
      </c>
      <c r="N37" s="279">
        <v>5810.594661090412</v>
      </c>
    </row>
    <row r="38" spans="1:14" x14ac:dyDescent="0.2">
      <c r="A38" s="288">
        <v>32</v>
      </c>
      <c r="B38" s="287" t="s">
        <v>175</v>
      </c>
      <c r="C38" s="295">
        <v>5766</v>
      </c>
      <c r="D38" s="285">
        <f t="shared" si="0"/>
        <v>1.8806808155879279E-3</v>
      </c>
      <c r="E38" s="292">
        <f t="shared" si="1"/>
        <v>266.46720525890396</v>
      </c>
      <c r="F38" s="283">
        <f t="shared" si="2"/>
        <v>2083.6256483183042</v>
      </c>
      <c r="G38" s="291"/>
      <c r="H38" s="294">
        <f t="shared" si="3"/>
        <v>2350.0928535772082</v>
      </c>
      <c r="I38" s="272" t="b">
        <f t="shared" si="4"/>
        <v>1</v>
      </c>
      <c r="J38" s="281" t="s">
        <v>175</v>
      </c>
      <c r="K38" s="280">
        <v>5766</v>
      </c>
      <c r="L38" s="254">
        <f t="shared" si="5"/>
        <v>0</v>
      </c>
      <c r="N38" s="279">
        <v>2355.3766487334124</v>
      </c>
    </row>
    <row r="39" spans="1:14" x14ac:dyDescent="0.2">
      <c r="A39" s="288">
        <v>33</v>
      </c>
      <c r="B39" s="287" t="s">
        <v>174</v>
      </c>
      <c r="C39" s="295">
        <v>92421</v>
      </c>
      <c r="D39" s="285">
        <f t="shared" si="0"/>
        <v>3.0144710658593806E-2</v>
      </c>
      <c r="E39" s="292">
        <f t="shared" si="1"/>
        <v>4271.1005163428999</v>
      </c>
      <c r="F39" s="283">
        <f t="shared" si="2"/>
        <v>2083.6256483183042</v>
      </c>
      <c r="G39" s="291"/>
      <c r="H39" s="294">
        <f t="shared" si="3"/>
        <v>6354.7261646612042</v>
      </c>
      <c r="I39" s="272" t="b">
        <f t="shared" si="4"/>
        <v>1</v>
      </c>
      <c r="J39" s="281" t="s">
        <v>174</v>
      </c>
      <c r="K39" s="280">
        <v>92421</v>
      </c>
      <c r="L39" s="254">
        <f t="shared" si="5"/>
        <v>0</v>
      </c>
      <c r="N39" s="279">
        <v>6325.4695971541623</v>
      </c>
    </row>
    <row r="40" spans="1:14" x14ac:dyDescent="0.2">
      <c r="A40" s="288">
        <v>34</v>
      </c>
      <c r="B40" s="287" t="s">
        <v>173</v>
      </c>
      <c r="C40" s="293">
        <v>68650</v>
      </c>
      <c r="D40" s="285">
        <f t="shared" si="0"/>
        <v>2.2391387095059185E-2</v>
      </c>
      <c r="E40" s="292">
        <f t="shared" si="1"/>
        <v>3172.5587306666243</v>
      </c>
      <c r="F40" s="283">
        <f t="shared" si="2"/>
        <v>2083.6256483183042</v>
      </c>
      <c r="G40" s="291"/>
      <c r="H40" s="279">
        <f t="shared" si="3"/>
        <v>5256.1843789849281</v>
      </c>
      <c r="I40" s="272" t="b">
        <f t="shared" si="4"/>
        <v>1</v>
      </c>
      <c r="J40" s="290" t="s">
        <v>173</v>
      </c>
      <c r="K40" s="289">
        <v>68650</v>
      </c>
      <c r="L40" s="254">
        <f t="shared" si="5"/>
        <v>0</v>
      </c>
      <c r="N40" s="279">
        <v>5230.5874272699984</v>
      </c>
    </row>
    <row r="41" spans="1:14" x14ac:dyDescent="0.2">
      <c r="A41" s="288">
        <v>35</v>
      </c>
      <c r="B41" s="287" t="s">
        <v>255</v>
      </c>
      <c r="C41" s="286"/>
      <c r="D41" s="285"/>
      <c r="E41" s="284"/>
      <c r="F41" s="283"/>
      <c r="G41" s="291">
        <v>0</v>
      </c>
      <c r="H41" s="279">
        <f t="shared" ref="H41:H46" si="6">G41</f>
        <v>0</v>
      </c>
      <c r="I41" s="272"/>
      <c r="J41" s="281"/>
      <c r="K41" s="280"/>
      <c r="N41" s="279">
        <v>0</v>
      </c>
    </row>
    <row r="42" spans="1:14" x14ac:dyDescent="0.2">
      <c r="A42" s="288">
        <v>36</v>
      </c>
      <c r="B42" s="287" t="s">
        <v>256</v>
      </c>
      <c r="C42" s="286"/>
      <c r="D42" s="285"/>
      <c r="E42" s="284"/>
      <c r="F42" s="283"/>
      <c r="G42" s="282">
        <f>N42*(1+K$51)</f>
        <v>9000</v>
      </c>
      <c r="H42" s="279">
        <f t="shared" si="6"/>
        <v>9000</v>
      </c>
      <c r="I42" s="272"/>
      <c r="J42" s="281" t="s">
        <v>172</v>
      </c>
      <c r="K42" s="280">
        <v>128421</v>
      </c>
      <c r="L42" s="254">
        <f>C50-K42</f>
        <v>0</v>
      </c>
      <c r="N42" s="279">
        <v>9000</v>
      </c>
    </row>
    <row r="43" spans="1:14" x14ac:dyDescent="0.2">
      <c r="A43" s="288">
        <v>37</v>
      </c>
      <c r="B43" s="287" t="s">
        <v>257</v>
      </c>
      <c r="C43" s="286"/>
      <c r="D43" s="285"/>
      <c r="E43" s="284"/>
      <c r="F43" s="283"/>
      <c r="G43" s="282">
        <f>N43*(1+K$51)</f>
        <v>9000</v>
      </c>
      <c r="H43" s="279">
        <f t="shared" si="6"/>
        <v>9000</v>
      </c>
      <c r="I43" s="272"/>
      <c r="J43" s="281" t="s">
        <v>170</v>
      </c>
      <c r="K43" s="280">
        <v>3065911</v>
      </c>
      <c r="L43" s="254">
        <f>C48-K43</f>
        <v>0</v>
      </c>
      <c r="N43" s="279">
        <v>9000</v>
      </c>
    </row>
    <row r="44" spans="1:14" x14ac:dyDescent="0.2">
      <c r="A44" s="288">
        <v>38</v>
      </c>
      <c r="B44" s="287" t="s">
        <v>258</v>
      </c>
      <c r="C44" s="286"/>
      <c r="D44" s="285"/>
      <c r="E44" s="284"/>
      <c r="F44" s="283"/>
      <c r="G44" s="282">
        <f>N44*(1+K$51)</f>
        <v>7500</v>
      </c>
      <c r="H44" s="279">
        <f t="shared" si="6"/>
        <v>7500</v>
      </c>
      <c r="I44" s="272"/>
      <c r="J44" s="290"/>
      <c r="K44" s="289"/>
      <c r="N44" s="279">
        <v>7500</v>
      </c>
    </row>
    <row r="45" spans="1:14" x14ac:dyDescent="0.2">
      <c r="A45" s="288">
        <v>39</v>
      </c>
      <c r="B45" s="287" t="s">
        <v>259</v>
      </c>
      <c r="C45" s="286"/>
      <c r="D45" s="285"/>
      <c r="E45" s="284"/>
      <c r="F45" s="283"/>
      <c r="G45" s="282">
        <f>N45*(1+K$51)</f>
        <v>500</v>
      </c>
      <c r="H45" s="279">
        <f t="shared" si="6"/>
        <v>500</v>
      </c>
      <c r="I45" s="272"/>
      <c r="J45" s="281" t="s">
        <v>169</v>
      </c>
      <c r="K45" s="280">
        <v>3194332</v>
      </c>
      <c r="L45" s="254">
        <f>C51-K45</f>
        <v>0</v>
      </c>
      <c r="N45" s="279">
        <v>500</v>
      </c>
    </row>
    <row r="46" spans="1:14" x14ac:dyDescent="0.2">
      <c r="A46" s="278">
        <v>40</v>
      </c>
      <c r="B46" s="277" t="s">
        <v>260</v>
      </c>
      <c r="C46" s="276"/>
      <c r="D46" s="275"/>
      <c r="E46" s="274"/>
      <c r="F46" s="274"/>
      <c r="G46" s="273">
        <f>N46*(1+K$51)</f>
        <v>7500</v>
      </c>
      <c r="H46" s="271">
        <f t="shared" si="6"/>
        <v>7500</v>
      </c>
      <c r="I46" s="272"/>
      <c r="N46" s="271">
        <v>7500</v>
      </c>
    </row>
    <row r="47" spans="1:14" x14ac:dyDescent="0.2">
      <c r="B47" s="259"/>
      <c r="C47" s="254"/>
      <c r="D47" s="270"/>
      <c r="E47" s="252"/>
      <c r="F47" s="252"/>
      <c r="G47" s="252"/>
      <c r="H47" s="269"/>
      <c r="I47" s="268"/>
      <c r="N47" s="257">
        <f>SUM(N7:N46)</f>
        <v>246029.83738145075</v>
      </c>
    </row>
    <row r="48" spans="1:14" ht="15.75" thickBot="1" x14ac:dyDescent="0.25">
      <c r="B48" s="255" t="s">
        <v>171</v>
      </c>
      <c r="C48" s="254">
        <f>SUM(C7:C40)</f>
        <v>3065911</v>
      </c>
      <c r="D48" s="244">
        <f>SUM(D7:D40)</f>
        <v>0.99999999999999978</v>
      </c>
      <c r="E48" s="267">
        <f>SUM(E7:E40)</f>
        <v>141686.56533862842</v>
      </c>
      <c r="F48" s="267">
        <f>SUM(F7:F40)</f>
        <v>70843.272042822311</v>
      </c>
      <c r="G48" s="267">
        <f>SUM(G7:G46)</f>
        <v>33500</v>
      </c>
      <c r="H48" s="266">
        <f>SUM(H7:H46)</f>
        <v>246029.83738145075</v>
      </c>
    </row>
    <row r="49" spans="1:13" ht="16.5" thickTop="1" x14ac:dyDescent="0.25">
      <c r="B49" s="255"/>
      <c r="C49" s="254"/>
      <c r="E49" s="243"/>
      <c r="F49" s="264"/>
      <c r="G49" s="264"/>
      <c r="H49" s="263"/>
    </row>
    <row r="50" spans="1:13" ht="15.75" x14ac:dyDescent="0.25">
      <c r="B50" s="255" t="s">
        <v>168</v>
      </c>
      <c r="C50" s="265">
        <v>128421</v>
      </c>
      <c r="E50" s="243"/>
      <c r="F50" s="264"/>
      <c r="G50" s="264"/>
      <c r="H50" s="263"/>
      <c r="K50" s="242" t="s">
        <v>268</v>
      </c>
    </row>
    <row r="51" spans="1:13" x14ac:dyDescent="0.2">
      <c r="B51" s="242" t="s">
        <v>167</v>
      </c>
      <c r="C51" s="254">
        <f>C50+C48</f>
        <v>3194332</v>
      </c>
      <c r="K51" s="262">
        <v>0</v>
      </c>
      <c r="L51" s="242" t="s">
        <v>267</v>
      </c>
    </row>
    <row r="52" spans="1:13" x14ac:dyDescent="0.2">
      <c r="C52" s="254"/>
      <c r="J52" s="242" t="s">
        <v>266</v>
      </c>
    </row>
    <row r="53" spans="1:13" ht="15.75" thickBot="1" x14ac:dyDescent="0.25">
      <c r="A53" s="261" t="s">
        <v>166</v>
      </c>
      <c r="D53" s="254"/>
      <c r="H53" s="252"/>
      <c r="J53" s="249">
        <v>237679</v>
      </c>
      <c r="K53" s="246">
        <f>J55*(1+K51)</f>
        <v>246029.83738145075</v>
      </c>
      <c r="M53" s="246"/>
    </row>
    <row r="54" spans="1:13" ht="15.75" thickTop="1" x14ac:dyDescent="0.2">
      <c r="J54" s="260">
        <v>8350.8373814507577</v>
      </c>
      <c r="K54" s="257" t="s">
        <v>265</v>
      </c>
    </row>
    <row r="55" spans="1:13" x14ac:dyDescent="0.2">
      <c r="A55" s="242" t="s">
        <v>261</v>
      </c>
      <c r="B55" s="259"/>
      <c r="C55" s="254"/>
      <c r="D55" s="242"/>
      <c r="E55" s="258"/>
      <c r="F55" s="252"/>
      <c r="G55" s="252"/>
      <c r="H55" s="257">
        <f>0.3333333*(H58-H57)</f>
        <v>70843.27204282234</v>
      </c>
      <c r="J55" s="256">
        <f>SUM(J53:J54)</f>
        <v>246029.83738145075</v>
      </c>
      <c r="K55" s="246"/>
    </row>
    <row r="56" spans="1:13" x14ac:dyDescent="0.2">
      <c r="A56" s="242" t="s">
        <v>262</v>
      </c>
      <c r="B56" s="255"/>
      <c r="C56" s="254"/>
      <c r="D56" s="242"/>
      <c r="E56" s="243"/>
      <c r="H56" s="253">
        <f>H58-H55-H57</f>
        <v>141686.56533862842</v>
      </c>
    </row>
    <row r="57" spans="1:13" x14ac:dyDescent="0.2">
      <c r="A57" s="242" t="s">
        <v>263</v>
      </c>
      <c r="D57" s="242"/>
      <c r="E57" s="252"/>
      <c r="H57" s="251">
        <f>G48</f>
        <v>33500</v>
      </c>
      <c r="I57" s="243"/>
      <c r="L57" s="246"/>
    </row>
    <row r="58" spans="1:13" ht="15.75" thickBot="1" x14ac:dyDescent="0.25">
      <c r="D58" s="250"/>
      <c r="E58" s="243"/>
      <c r="H58" s="249">
        <f>K53</f>
        <v>246029.83738145075</v>
      </c>
      <c r="I58" s="246"/>
    </row>
    <row r="59" spans="1:13" ht="16.5" thickTop="1" x14ac:dyDescent="0.25">
      <c r="B59" s="248" t="s">
        <v>264</v>
      </c>
      <c r="D59" s="242"/>
      <c r="G59" s="247"/>
      <c r="I59" s="243"/>
      <c r="J59" s="243"/>
      <c r="K59" s="243"/>
      <c r="L59" s="243"/>
    </row>
    <row r="60" spans="1:13" s="243" customFormat="1" ht="15.75" x14ac:dyDescent="0.25">
      <c r="A60" s="242"/>
      <c r="B60" s="242"/>
      <c r="C60" s="242"/>
      <c r="D60" s="242"/>
      <c r="E60" s="242"/>
      <c r="F60" s="242"/>
      <c r="G60" s="241"/>
    </row>
    <row r="61" spans="1:13" s="243" customFormat="1" ht="15.75" x14ac:dyDescent="0.25">
      <c r="A61" s="242"/>
      <c r="B61" s="242"/>
      <c r="C61" s="242"/>
      <c r="D61" s="242"/>
      <c r="E61" s="242"/>
      <c r="F61" s="242"/>
      <c r="G61" s="241"/>
    </row>
    <row r="62" spans="1:13" s="243" customFormat="1" x14ac:dyDescent="0.2">
      <c r="A62" s="242"/>
      <c r="B62" s="242"/>
      <c r="C62" s="242"/>
      <c r="D62" s="242"/>
      <c r="E62" s="242"/>
      <c r="F62" s="242"/>
      <c r="G62" s="242"/>
    </row>
    <row r="63" spans="1:13" s="243" customFormat="1" x14ac:dyDescent="0.2">
      <c r="A63" s="242"/>
      <c r="B63" s="242"/>
      <c r="C63" s="242"/>
      <c r="D63" s="242"/>
      <c r="E63" s="242"/>
      <c r="F63" s="242"/>
      <c r="G63" s="246"/>
    </row>
    <row r="64" spans="1:13" s="243" customFormat="1" x14ac:dyDescent="0.2">
      <c r="A64" s="242"/>
      <c r="B64" s="242"/>
      <c r="C64" s="242"/>
      <c r="D64" s="242"/>
      <c r="E64" s="242"/>
      <c r="F64" s="242"/>
      <c r="G64" s="245"/>
      <c r="I64" s="242"/>
      <c r="J64" s="242"/>
      <c r="K64" s="242"/>
      <c r="L64" s="242"/>
    </row>
    <row r="65" spans="1:12" x14ac:dyDescent="0.2">
      <c r="D65" s="242"/>
      <c r="H65" s="242"/>
      <c r="I65" s="243"/>
      <c r="J65" s="243"/>
      <c r="K65" s="243"/>
      <c r="L65" s="243"/>
    </row>
    <row r="66" spans="1:12" s="243" customFormat="1" x14ac:dyDescent="0.2">
      <c r="A66" s="242"/>
      <c r="B66" s="242"/>
      <c r="C66" s="242"/>
      <c r="D66" s="242"/>
      <c r="E66" s="242"/>
      <c r="F66" s="242"/>
      <c r="G66" s="242"/>
      <c r="H66" s="242"/>
    </row>
    <row r="67" spans="1:12" s="243" customFormat="1" x14ac:dyDescent="0.2">
      <c r="A67" s="242"/>
      <c r="B67" s="242"/>
      <c r="C67" s="242"/>
      <c r="D67" s="244"/>
      <c r="E67" s="242"/>
      <c r="F67" s="242"/>
      <c r="G67" s="242"/>
      <c r="H67" s="242"/>
      <c r="I67" s="242"/>
      <c r="J67" s="242"/>
      <c r="K67" s="242"/>
      <c r="L67" s="242"/>
    </row>
    <row r="68" spans="1:12" x14ac:dyDescent="0.2">
      <c r="H68" s="242"/>
    </row>
  </sheetData>
  <autoFilter ref="A3:L46" xr:uid="{00000000-0009-0000-0000-000001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2">
    <mergeCell ref="B3:H3"/>
    <mergeCell ref="B4:H4"/>
  </mergeCells>
  <printOptions horizontalCentered="1"/>
  <pageMargins left="0.25" right="0.26" top="1" bottom="1" header="0.5" footer="0.5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6"/>
  <sheetViews>
    <sheetView topLeftCell="A25" zoomScale="115" zoomScaleNormal="115" zoomScaleSheetLayoutView="100" zoomScalePageLayoutView="115" workbookViewId="0">
      <selection activeCell="I43" sqref="I43"/>
    </sheetView>
  </sheetViews>
  <sheetFormatPr defaultColWidth="12.28515625" defaultRowHeight="12.75" x14ac:dyDescent="0.2"/>
  <cols>
    <col min="1" max="1" width="3.85546875" style="151" customWidth="1"/>
    <col min="2" max="2" width="23.42578125" style="151" customWidth="1"/>
    <col min="3" max="3" width="14.42578125" style="151" customWidth="1"/>
    <col min="4" max="4" width="14.42578125" style="153" customWidth="1"/>
    <col min="5" max="5" width="16.42578125" style="151" customWidth="1"/>
    <col min="6" max="6" width="14.42578125" style="151" customWidth="1"/>
    <col min="7" max="7" width="14" style="152" customWidth="1"/>
    <col min="8" max="9" width="12.28515625" style="151"/>
    <col min="10" max="10" width="12.28515625" style="178"/>
    <col min="11" max="11" width="26.7109375" style="151" bestFit="1" customWidth="1"/>
    <col min="12" max="16384" width="12.28515625" style="151"/>
  </cols>
  <sheetData>
    <row r="1" spans="1:13" x14ac:dyDescent="0.2">
      <c r="A1" s="215"/>
      <c r="B1" s="215" t="s">
        <v>214</v>
      </c>
      <c r="C1" s="215"/>
      <c r="D1" s="216"/>
      <c r="E1" s="215"/>
      <c r="F1" s="215"/>
      <c r="G1" s="214"/>
    </row>
    <row r="3" spans="1:13" ht="15.75" x14ac:dyDescent="0.25">
      <c r="B3" s="348" t="s">
        <v>213</v>
      </c>
      <c r="C3" s="348"/>
      <c r="D3" s="348"/>
      <c r="E3" s="348"/>
      <c r="F3" s="348"/>
      <c r="G3" s="348"/>
    </row>
    <row r="4" spans="1:13" x14ac:dyDescent="0.2">
      <c r="B4" s="350"/>
      <c r="C4" s="350"/>
      <c r="D4" s="350"/>
      <c r="E4" s="350"/>
      <c r="F4" s="350"/>
      <c r="G4" s="350"/>
      <c r="K4" s="208"/>
    </row>
    <row r="5" spans="1:13" x14ac:dyDescent="0.2">
      <c r="B5" s="213"/>
      <c r="C5" s="213"/>
      <c r="D5" s="213"/>
      <c r="E5" s="213"/>
      <c r="F5" s="213"/>
      <c r="G5" s="213"/>
    </row>
    <row r="6" spans="1:13" ht="25.5" x14ac:dyDescent="0.2">
      <c r="B6" s="212" t="s">
        <v>212</v>
      </c>
      <c r="C6" s="212" t="s">
        <v>211</v>
      </c>
      <c r="D6" s="211" t="s">
        <v>210</v>
      </c>
      <c r="E6" s="210" t="s">
        <v>209</v>
      </c>
      <c r="F6" s="210" t="s">
        <v>208</v>
      </c>
      <c r="G6" s="209" t="s">
        <v>207</v>
      </c>
      <c r="K6" s="208"/>
      <c r="L6" s="208"/>
    </row>
    <row r="7" spans="1:13" x14ac:dyDescent="0.2">
      <c r="A7" s="207">
        <v>1</v>
      </c>
      <c r="B7" s="206" t="s">
        <v>206</v>
      </c>
      <c r="C7" s="205">
        <v>50044</v>
      </c>
      <c r="D7" s="204">
        <f t="shared" ref="D7:D40" si="0">C7/$C$42</f>
        <v>1.6322717782740595E-2</v>
      </c>
      <c r="E7" s="203">
        <f t="shared" ref="E7:E40" si="1">SUM(D7*G$50)</f>
        <v>1155.6554411603906</v>
      </c>
      <c r="F7" s="202">
        <f t="shared" ref="F7:F40" si="2">G$49/34</f>
        <v>1041.1826409797648</v>
      </c>
      <c r="G7" s="201">
        <f t="shared" ref="G7:G40" si="3">SUM(E7+F7)</f>
        <v>2196.8380821401552</v>
      </c>
      <c r="K7" s="240"/>
      <c r="L7" s="179"/>
      <c r="M7" s="166"/>
    </row>
    <row r="8" spans="1:13" x14ac:dyDescent="0.2">
      <c r="A8" s="199">
        <v>2</v>
      </c>
      <c r="B8" s="198" t="s">
        <v>205</v>
      </c>
      <c r="C8" s="197">
        <v>357325</v>
      </c>
      <c r="D8" s="196">
        <f t="shared" si="0"/>
        <v>0.11654774062260777</v>
      </c>
      <c r="E8" s="195">
        <f t="shared" si="1"/>
        <v>8251.6301756981175</v>
      </c>
      <c r="F8" s="194">
        <f t="shared" si="2"/>
        <v>1041.1826409797648</v>
      </c>
      <c r="G8" s="193">
        <f t="shared" si="3"/>
        <v>9292.8128166778824</v>
      </c>
      <c r="K8" s="240"/>
      <c r="L8" s="179"/>
      <c r="M8" s="166"/>
    </row>
    <row r="9" spans="1:13" x14ac:dyDescent="0.2">
      <c r="A9" s="199">
        <v>3</v>
      </c>
      <c r="B9" s="198" t="s">
        <v>204</v>
      </c>
      <c r="C9" s="197">
        <v>45629</v>
      </c>
      <c r="D9" s="196">
        <f t="shared" si="0"/>
        <v>1.4882689027828922E-2</v>
      </c>
      <c r="E9" s="195">
        <f t="shared" si="1"/>
        <v>1053.7007858026429</v>
      </c>
      <c r="F9" s="194">
        <f t="shared" si="2"/>
        <v>1041.1826409797648</v>
      </c>
      <c r="G9" s="193">
        <f t="shared" si="3"/>
        <v>2094.8834267824077</v>
      </c>
      <c r="K9" s="240"/>
      <c r="L9" s="179"/>
      <c r="M9" s="166"/>
    </row>
    <row r="10" spans="1:13" x14ac:dyDescent="0.2">
      <c r="A10" s="199">
        <v>4</v>
      </c>
      <c r="B10" s="198" t="s">
        <v>203</v>
      </c>
      <c r="C10" s="197">
        <v>81998</v>
      </c>
      <c r="D10" s="196">
        <f t="shared" si="0"/>
        <v>2.6745068594619999E-2</v>
      </c>
      <c r="E10" s="195">
        <f t="shared" si="1"/>
        <v>1893.5623624064765</v>
      </c>
      <c r="F10" s="194">
        <f t="shared" si="2"/>
        <v>1041.1826409797648</v>
      </c>
      <c r="G10" s="193">
        <f t="shared" si="3"/>
        <v>2934.7450033862415</v>
      </c>
      <c r="K10" s="240"/>
      <c r="L10" s="179"/>
      <c r="M10" s="166"/>
    </row>
    <row r="11" spans="1:13" x14ac:dyDescent="0.2">
      <c r="A11" s="199">
        <v>5</v>
      </c>
      <c r="B11" s="198" t="s">
        <v>202</v>
      </c>
      <c r="C11" s="197">
        <v>114778</v>
      </c>
      <c r="D11" s="196">
        <f t="shared" si="0"/>
        <v>3.7436833619762612E-2</v>
      </c>
      <c r="E11" s="195">
        <f t="shared" si="1"/>
        <v>2650.5439258553938</v>
      </c>
      <c r="F11" s="194">
        <f t="shared" si="2"/>
        <v>1041.1826409797648</v>
      </c>
      <c r="G11" s="193">
        <f t="shared" si="3"/>
        <v>3691.7265668351583</v>
      </c>
      <c r="K11" s="240"/>
      <c r="L11" s="179"/>
      <c r="M11" s="166"/>
    </row>
    <row r="12" spans="1:13" x14ac:dyDescent="0.2">
      <c r="A12" s="199">
        <v>6</v>
      </c>
      <c r="B12" s="198" t="s">
        <v>201</v>
      </c>
      <c r="C12" s="197">
        <v>49272</v>
      </c>
      <c r="D12" s="196">
        <f t="shared" si="0"/>
        <v>1.6070916605211306E-2</v>
      </c>
      <c r="E12" s="195">
        <f t="shared" si="1"/>
        <v>1137.8278094647665</v>
      </c>
      <c r="F12" s="194">
        <f t="shared" si="2"/>
        <v>1041.1826409797648</v>
      </c>
      <c r="G12" s="193">
        <f t="shared" si="3"/>
        <v>2179.0104504445312</v>
      </c>
      <c r="K12" s="240"/>
      <c r="L12" s="179"/>
      <c r="M12" s="166"/>
    </row>
    <row r="13" spans="1:13" x14ac:dyDescent="0.2">
      <c r="A13" s="199">
        <v>7</v>
      </c>
      <c r="B13" s="198" t="s">
        <v>200</v>
      </c>
      <c r="C13" s="197">
        <v>33146</v>
      </c>
      <c r="D13" s="196">
        <f t="shared" si="0"/>
        <v>1.0811142267339136E-2</v>
      </c>
      <c r="E13" s="195">
        <f t="shared" si="1"/>
        <v>765.43352355331922</v>
      </c>
      <c r="F13" s="194">
        <f t="shared" si="2"/>
        <v>1041.1826409797648</v>
      </c>
      <c r="G13" s="193">
        <f t="shared" si="3"/>
        <v>1806.616164533084</v>
      </c>
      <c r="K13" s="240"/>
      <c r="L13" s="179"/>
      <c r="M13" s="166"/>
    </row>
    <row r="14" spans="1:13" x14ac:dyDescent="0.2">
      <c r="A14" s="199">
        <v>8</v>
      </c>
      <c r="B14" s="198" t="s">
        <v>199</v>
      </c>
      <c r="C14" s="197">
        <v>55878</v>
      </c>
      <c r="D14" s="196">
        <f t="shared" si="0"/>
        <v>1.8225577976660117E-2</v>
      </c>
      <c r="E14" s="195">
        <f t="shared" si="1"/>
        <v>1290.3787615130746</v>
      </c>
      <c r="F14" s="194">
        <f t="shared" si="2"/>
        <v>1041.1826409797648</v>
      </c>
      <c r="G14" s="193">
        <f t="shared" si="3"/>
        <v>2331.5614024928391</v>
      </c>
      <c r="K14" s="240"/>
      <c r="L14" s="179"/>
      <c r="M14" s="166"/>
    </row>
    <row r="15" spans="1:13" s="200" customFormat="1" x14ac:dyDescent="0.2">
      <c r="A15" s="199">
        <v>9</v>
      </c>
      <c r="B15" s="198" t="s">
        <v>198</v>
      </c>
      <c r="C15" s="197">
        <v>141863</v>
      </c>
      <c r="D15" s="196">
        <f t="shared" si="0"/>
        <v>4.6271075709634103E-2</v>
      </c>
      <c r="E15" s="195">
        <f t="shared" si="1"/>
        <v>3276.012066368326</v>
      </c>
      <c r="F15" s="194">
        <f t="shared" si="2"/>
        <v>1041.1826409797648</v>
      </c>
      <c r="G15" s="193">
        <f t="shared" si="3"/>
        <v>4317.1947073480906</v>
      </c>
      <c r="J15" s="178"/>
      <c r="K15" s="240"/>
      <c r="L15" s="179"/>
      <c r="M15" s="166"/>
    </row>
    <row r="16" spans="1:13" s="200" customFormat="1" x14ac:dyDescent="0.2">
      <c r="A16" s="199">
        <v>10</v>
      </c>
      <c r="B16" s="198" t="s">
        <v>197</v>
      </c>
      <c r="C16" s="197">
        <v>174801</v>
      </c>
      <c r="D16" s="196">
        <f t="shared" si="0"/>
        <v>5.7014375172664833E-2</v>
      </c>
      <c r="E16" s="195">
        <f t="shared" si="1"/>
        <v>4036.6422901901819</v>
      </c>
      <c r="F16" s="194">
        <f t="shared" si="2"/>
        <v>1041.1826409797648</v>
      </c>
      <c r="G16" s="193">
        <f t="shared" si="3"/>
        <v>5077.8249311699465</v>
      </c>
      <c r="J16" s="178"/>
      <c r="K16" s="240"/>
      <c r="L16" s="179"/>
      <c r="M16" s="166"/>
    </row>
    <row r="17" spans="1:13" x14ac:dyDescent="0.2">
      <c r="A17" s="199">
        <v>11</v>
      </c>
      <c r="B17" s="198" t="s">
        <v>196</v>
      </c>
      <c r="C17" s="197">
        <v>201281</v>
      </c>
      <c r="D17" s="196">
        <f t="shared" si="0"/>
        <v>6.56512860288508E-2</v>
      </c>
      <c r="E17" s="195">
        <f t="shared" si="1"/>
        <v>4648.1392944649624</v>
      </c>
      <c r="F17" s="194">
        <f t="shared" si="2"/>
        <v>1041.1826409797648</v>
      </c>
      <c r="G17" s="193">
        <f t="shared" si="3"/>
        <v>5689.3219354447274</v>
      </c>
      <c r="K17" s="240"/>
      <c r="L17" s="179"/>
      <c r="M17" s="166"/>
    </row>
    <row r="18" spans="1:13" x14ac:dyDescent="0.2">
      <c r="A18" s="199">
        <v>12</v>
      </c>
      <c r="B18" s="198" t="s">
        <v>195</v>
      </c>
      <c r="C18" s="197">
        <v>281707</v>
      </c>
      <c r="D18" s="196">
        <f t="shared" si="0"/>
        <v>9.1883619583216863E-2</v>
      </c>
      <c r="E18" s="195">
        <f t="shared" si="1"/>
        <v>6505.3997954394163</v>
      </c>
      <c r="F18" s="194">
        <f t="shared" si="2"/>
        <v>1041.1826409797648</v>
      </c>
      <c r="G18" s="193">
        <f t="shared" si="3"/>
        <v>7546.5824364191812</v>
      </c>
      <c r="K18" s="240"/>
      <c r="L18" s="179"/>
      <c r="M18" s="166"/>
    </row>
    <row r="19" spans="1:13" x14ac:dyDescent="0.2">
      <c r="A19" s="199">
        <v>13</v>
      </c>
      <c r="B19" s="198" t="s">
        <v>194</v>
      </c>
      <c r="C19" s="197">
        <v>22343</v>
      </c>
      <c r="D19" s="196">
        <f t="shared" si="0"/>
        <v>7.2875566185711194E-3</v>
      </c>
      <c r="E19" s="195">
        <f t="shared" si="1"/>
        <v>515.96214375043178</v>
      </c>
      <c r="F19" s="194">
        <f t="shared" si="2"/>
        <v>1041.1826409797648</v>
      </c>
      <c r="G19" s="193">
        <f t="shared" si="3"/>
        <v>1557.1447847301965</v>
      </c>
      <c r="K19" s="240"/>
      <c r="L19" s="179"/>
      <c r="M19" s="166"/>
    </row>
    <row r="20" spans="1:13" x14ac:dyDescent="0.2">
      <c r="A20" s="199">
        <v>14</v>
      </c>
      <c r="B20" s="198" t="s">
        <v>193</v>
      </c>
      <c r="C20" s="197">
        <v>31508</v>
      </c>
      <c r="D20" s="196">
        <f t="shared" si="0"/>
        <v>1.0276880183410412E-2</v>
      </c>
      <c r="E20" s="195">
        <f t="shared" si="1"/>
        <v>727.6075381680439</v>
      </c>
      <c r="F20" s="194">
        <f t="shared" si="2"/>
        <v>1041.1826409797648</v>
      </c>
      <c r="G20" s="193">
        <f t="shared" si="3"/>
        <v>1768.7901791478087</v>
      </c>
      <c r="K20" s="240"/>
      <c r="L20" s="179"/>
      <c r="M20" s="166"/>
    </row>
    <row r="21" spans="1:13" x14ac:dyDescent="0.2">
      <c r="A21" s="199">
        <v>15</v>
      </c>
      <c r="B21" s="198" t="s">
        <v>192</v>
      </c>
      <c r="C21" s="197">
        <v>65316</v>
      </c>
      <c r="D21" s="196">
        <f t="shared" si="0"/>
        <v>2.1303945222154199E-2</v>
      </c>
      <c r="E21" s="195">
        <f t="shared" si="1"/>
        <v>1508.3284868282328</v>
      </c>
      <c r="F21" s="194">
        <f t="shared" si="2"/>
        <v>1041.1826409797648</v>
      </c>
      <c r="G21" s="193">
        <f t="shared" si="3"/>
        <v>2549.5111278079976</v>
      </c>
      <c r="K21" s="240"/>
      <c r="L21" s="179"/>
      <c r="M21" s="166"/>
    </row>
    <row r="22" spans="1:13" x14ac:dyDescent="0.2">
      <c r="A22" s="199">
        <v>16</v>
      </c>
      <c r="B22" s="198" t="s">
        <v>191</v>
      </c>
      <c r="C22" s="197">
        <v>16243</v>
      </c>
      <c r="D22" s="196">
        <f t="shared" si="0"/>
        <v>5.2979359152956493E-3</v>
      </c>
      <c r="E22" s="195">
        <f t="shared" si="1"/>
        <v>375.09614201039534</v>
      </c>
      <c r="F22" s="194">
        <f t="shared" si="2"/>
        <v>1041.1826409797648</v>
      </c>
      <c r="G22" s="193">
        <f t="shared" si="3"/>
        <v>1416.2787829901602</v>
      </c>
      <c r="K22" s="240"/>
      <c r="L22" s="179"/>
      <c r="M22" s="166"/>
    </row>
    <row r="23" spans="1:13" x14ac:dyDescent="0.2">
      <c r="A23" s="199">
        <v>17</v>
      </c>
      <c r="B23" s="198" t="s">
        <v>190</v>
      </c>
      <c r="C23" s="197">
        <v>63371</v>
      </c>
      <c r="D23" s="196">
        <f t="shared" si="0"/>
        <v>2.0669549768404887E-2</v>
      </c>
      <c r="E23" s="195">
        <f t="shared" si="1"/>
        <v>1463.4130157816144</v>
      </c>
      <c r="F23" s="194">
        <f t="shared" si="2"/>
        <v>1041.1826409797648</v>
      </c>
      <c r="G23" s="193">
        <f t="shared" si="3"/>
        <v>2504.5956567613794</v>
      </c>
      <c r="K23" s="240"/>
      <c r="L23" s="179"/>
      <c r="M23" s="166"/>
    </row>
    <row r="24" spans="1:13" x14ac:dyDescent="0.2">
      <c r="A24" s="199">
        <v>18</v>
      </c>
      <c r="B24" s="198" t="s">
        <v>189</v>
      </c>
      <c r="C24" s="197">
        <v>84711</v>
      </c>
      <c r="D24" s="196">
        <f t="shared" si="0"/>
        <v>2.7629960556584975E-2</v>
      </c>
      <c r="E24" s="195">
        <f t="shared" si="1"/>
        <v>1956.213094000037</v>
      </c>
      <c r="F24" s="194">
        <f t="shared" si="2"/>
        <v>1041.1826409797648</v>
      </c>
      <c r="G24" s="193">
        <f t="shared" si="3"/>
        <v>2997.395734979802</v>
      </c>
      <c r="K24" s="240"/>
      <c r="L24" s="179"/>
      <c r="M24" s="166"/>
    </row>
    <row r="25" spans="1:13" x14ac:dyDescent="0.2">
      <c r="A25" s="199">
        <v>19</v>
      </c>
      <c r="B25" s="198" t="s">
        <v>188</v>
      </c>
      <c r="C25" s="197">
        <v>15492</v>
      </c>
      <c r="D25" s="196">
        <f t="shared" si="0"/>
        <v>5.0529842516628823E-3</v>
      </c>
      <c r="E25" s="195">
        <f t="shared" si="1"/>
        <v>357.75345884535153</v>
      </c>
      <c r="F25" s="194">
        <f t="shared" si="2"/>
        <v>1041.1826409797648</v>
      </c>
      <c r="G25" s="193">
        <f t="shared" si="3"/>
        <v>1398.9360998251163</v>
      </c>
      <c r="K25" s="240"/>
      <c r="L25" s="179"/>
      <c r="M25" s="166"/>
    </row>
    <row r="26" spans="1:13" x14ac:dyDescent="0.2">
      <c r="A26" s="199">
        <v>20</v>
      </c>
      <c r="B26" s="198" t="s">
        <v>187</v>
      </c>
      <c r="C26" s="197">
        <v>11567</v>
      </c>
      <c r="D26" s="196">
        <f t="shared" si="0"/>
        <v>3.7727774876700594E-3</v>
      </c>
      <c r="E26" s="195">
        <f t="shared" si="1"/>
        <v>267.11426920114775</v>
      </c>
      <c r="F26" s="194">
        <f t="shared" si="2"/>
        <v>1041.1826409797648</v>
      </c>
      <c r="G26" s="193">
        <f t="shared" si="3"/>
        <v>1308.2969101809126</v>
      </c>
      <c r="K26" s="240"/>
      <c r="L26" s="179"/>
      <c r="M26" s="166"/>
    </row>
    <row r="27" spans="1:13" s="200" customFormat="1" x14ac:dyDescent="0.2">
      <c r="A27" s="199">
        <v>21</v>
      </c>
      <c r="B27" s="198" t="s">
        <v>186</v>
      </c>
      <c r="C27" s="197">
        <v>94267</v>
      </c>
      <c r="D27" s="196">
        <f t="shared" si="0"/>
        <v>3.0746815546830942E-2</v>
      </c>
      <c r="E27" s="195">
        <f t="shared" si="1"/>
        <v>2176.887768201314</v>
      </c>
      <c r="F27" s="194">
        <f t="shared" si="2"/>
        <v>1041.1826409797648</v>
      </c>
      <c r="G27" s="193">
        <f t="shared" si="3"/>
        <v>3218.0704091810785</v>
      </c>
      <c r="J27" s="178"/>
      <c r="K27" s="240"/>
      <c r="L27" s="179"/>
      <c r="M27" s="166"/>
    </row>
    <row r="28" spans="1:13" x14ac:dyDescent="0.2">
      <c r="A28" s="199">
        <v>22</v>
      </c>
      <c r="B28" s="198" t="s">
        <v>185</v>
      </c>
      <c r="C28" s="197">
        <v>85780</v>
      </c>
      <c r="D28" s="196">
        <f t="shared" si="0"/>
        <v>2.7978633430650792E-2</v>
      </c>
      <c r="E28" s="195">
        <f t="shared" si="1"/>
        <v>1980.8992834852991</v>
      </c>
      <c r="F28" s="194">
        <f t="shared" si="2"/>
        <v>1041.1826409797648</v>
      </c>
      <c r="G28" s="193">
        <f t="shared" si="3"/>
        <v>3022.0819244650638</v>
      </c>
      <c r="K28" s="240"/>
      <c r="L28" s="179"/>
      <c r="M28" s="166"/>
    </row>
    <row r="29" spans="1:13" x14ac:dyDescent="0.2">
      <c r="A29" s="199">
        <v>23</v>
      </c>
      <c r="B29" s="198" t="s">
        <v>184</v>
      </c>
      <c r="C29" s="197">
        <v>140065</v>
      </c>
      <c r="D29" s="196">
        <f t="shared" si="0"/>
        <v>4.5684626853160444E-2</v>
      </c>
      <c r="E29" s="195">
        <f t="shared" si="1"/>
        <v>3234.4912350357708</v>
      </c>
      <c r="F29" s="194">
        <f t="shared" si="2"/>
        <v>1041.1826409797648</v>
      </c>
      <c r="G29" s="193">
        <f t="shared" si="3"/>
        <v>4275.6738760155358</v>
      </c>
      <c r="K29" s="240"/>
      <c r="L29" s="179"/>
      <c r="M29" s="166"/>
    </row>
    <row r="30" spans="1:13" x14ac:dyDescent="0.2">
      <c r="A30" s="199">
        <v>24</v>
      </c>
      <c r="B30" s="198" t="s">
        <v>183</v>
      </c>
      <c r="C30" s="197">
        <v>51494</v>
      </c>
      <c r="D30" s="196">
        <f t="shared" si="0"/>
        <v>1.6795660408929027E-2</v>
      </c>
      <c r="E30" s="195">
        <f t="shared" si="1"/>
        <v>1189.1399825576125</v>
      </c>
      <c r="F30" s="194">
        <f t="shared" si="2"/>
        <v>1041.1826409797648</v>
      </c>
      <c r="G30" s="193">
        <f t="shared" si="3"/>
        <v>2230.3226235373772</v>
      </c>
      <c r="K30" s="240"/>
      <c r="L30" s="179"/>
      <c r="M30" s="166"/>
    </row>
    <row r="31" spans="1:13" x14ac:dyDescent="0.2">
      <c r="A31" s="199">
        <v>25</v>
      </c>
      <c r="B31" s="198" t="s">
        <v>182</v>
      </c>
      <c r="C31" s="197">
        <v>48793</v>
      </c>
      <c r="D31" s="196">
        <f t="shared" si="0"/>
        <v>1.5914682454904922E-2</v>
      </c>
      <c r="E31" s="195">
        <f t="shared" si="1"/>
        <v>1126.766364410098</v>
      </c>
      <c r="F31" s="194">
        <f t="shared" si="2"/>
        <v>1041.1826409797648</v>
      </c>
      <c r="G31" s="193">
        <f t="shared" si="3"/>
        <v>2167.9490053898626</v>
      </c>
      <c r="K31" s="240"/>
      <c r="L31" s="179"/>
      <c r="M31" s="166"/>
    </row>
    <row r="32" spans="1:13" s="200" customFormat="1" x14ac:dyDescent="0.2">
      <c r="A32" s="199">
        <v>26</v>
      </c>
      <c r="B32" s="198" t="s">
        <v>181</v>
      </c>
      <c r="C32" s="197">
        <v>64581</v>
      </c>
      <c r="D32" s="196">
        <f t="shared" si="0"/>
        <v>2.1064212235775925E-2</v>
      </c>
      <c r="E32" s="195">
        <f t="shared" si="1"/>
        <v>1491.355288257917</v>
      </c>
      <c r="F32" s="194">
        <f t="shared" si="2"/>
        <v>1041.1826409797648</v>
      </c>
      <c r="G32" s="193">
        <f t="shared" si="3"/>
        <v>2532.537929237682</v>
      </c>
      <c r="J32" s="178"/>
      <c r="K32" s="240"/>
      <c r="L32" s="179"/>
      <c r="M32" s="166"/>
    </row>
    <row r="33" spans="1:13" x14ac:dyDescent="0.2">
      <c r="A33" s="199">
        <v>27</v>
      </c>
      <c r="B33" s="198" t="s">
        <v>180</v>
      </c>
      <c r="C33" s="197">
        <v>36318</v>
      </c>
      <c r="D33" s="196">
        <f t="shared" si="0"/>
        <v>1.1845745033042381E-2</v>
      </c>
      <c r="E33" s="195">
        <f t="shared" si="1"/>
        <v>838.6838444581382</v>
      </c>
      <c r="F33" s="194">
        <f t="shared" si="2"/>
        <v>1041.1826409797648</v>
      </c>
      <c r="G33" s="193">
        <f t="shared" si="3"/>
        <v>1879.8664854379031</v>
      </c>
      <c r="K33" s="240"/>
      <c r="L33" s="179"/>
      <c r="M33" s="166"/>
    </row>
    <row r="34" spans="1:13" x14ac:dyDescent="0.2">
      <c r="A34" s="199">
        <v>28</v>
      </c>
      <c r="B34" s="198" t="s">
        <v>179</v>
      </c>
      <c r="C34" s="197">
        <v>335052</v>
      </c>
      <c r="D34" s="196">
        <f t="shared" si="0"/>
        <v>0.10928301571702505</v>
      </c>
      <c r="E34" s="195">
        <f t="shared" si="1"/>
        <v>7737.28452704962</v>
      </c>
      <c r="F34" s="194">
        <f t="shared" si="2"/>
        <v>1041.1826409797648</v>
      </c>
      <c r="G34" s="193">
        <f t="shared" si="3"/>
        <v>8778.467168029385</v>
      </c>
      <c r="K34" s="240"/>
      <c r="L34" s="179"/>
      <c r="M34" s="166"/>
    </row>
    <row r="35" spans="1:13" x14ac:dyDescent="0.2">
      <c r="A35" s="199">
        <v>29</v>
      </c>
      <c r="B35" s="198" t="s">
        <v>178</v>
      </c>
      <c r="C35" s="197">
        <v>24992</v>
      </c>
      <c r="D35" s="196">
        <f t="shared" si="0"/>
        <v>8.1515738715181238E-3</v>
      </c>
      <c r="E35" s="195">
        <f t="shared" si="1"/>
        <v>577.13493696508044</v>
      </c>
      <c r="F35" s="194">
        <f t="shared" si="2"/>
        <v>1041.1826409797648</v>
      </c>
      <c r="G35" s="193">
        <f t="shared" si="3"/>
        <v>1618.3175779448452</v>
      </c>
      <c r="K35" s="240"/>
      <c r="L35" s="179"/>
      <c r="M35" s="166"/>
    </row>
    <row r="36" spans="1:13" x14ac:dyDescent="0.2">
      <c r="A36" s="199">
        <v>30</v>
      </c>
      <c r="B36" s="198" t="s">
        <v>177</v>
      </c>
      <c r="C36" s="197">
        <v>39077</v>
      </c>
      <c r="D36" s="196">
        <f t="shared" si="0"/>
        <v>1.2745640692114025E-2</v>
      </c>
      <c r="E36" s="195">
        <f t="shared" si="1"/>
        <v>902.39684426154156</v>
      </c>
      <c r="F36" s="194">
        <f t="shared" si="2"/>
        <v>1041.1826409797648</v>
      </c>
      <c r="G36" s="193">
        <f t="shared" si="3"/>
        <v>1943.5794852413064</v>
      </c>
      <c r="K36" s="240"/>
      <c r="L36" s="179"/>
      <c r="M36" s="166"/>
    </row>
    <row r="37" spans="1:13" x14ac:dyDescent="0.2">
      <c r="A37" s="199">
        <v>31</v>
      </c>
      <c r="B37" s="198" t="s">
        <v>176</v>
      </c>
      <c r="C37" s="197">
        <v>80382</v>
      </c>
      <c r="D37" s="196">
        <f t="shared" si="0"/>
        <v>2.6217982191916202E-2</v>
      </c>
      <c r="E37" s="195">
        <f t="shared" si="1"/>
        <v>1856.2444183389521</v>
      </c>
      <c r="F37" s="194">
        <f t="shared" si="2"/>
        <v>1041.1826409797648</v>
      </c>
      <c r="G37" s="193">
        <f t="shared" si="3"/>
        <v>2897.4270593187166</v>
      </c>
      <c r="K37" s="240"/>
      <c r="L37" s="179"/>
      <c r="M37" s="166"/>
    </row>
    <row r="38" spans="1:13" x14ac:dyDescent="0.2">
      <c r="A38" s="199">
        <v>32</v>
      </c>
      <c r="B38" s="198" t="s">
        <v>175</v>
      </c>
      <c r="C38" s="197">
        <v>5766</v>
      </c>
      <c r="D38" s="196">
        <f t="shared" si="0"/>
        <v>1.8806808155879279E-3</v>
      </c>
      <c r="E38" s="195">
        <f t="shared" si="1"/>
        <v>133.15301082509018</v>
      </c>
      <c r="F38" s="194">
        <f t="shared" si="2"/>
        <v>1041.1826409797648</v>
      </c>
      <c r="G38" s="193">
        <f t="shared" si="3"/>
        <v>1174.3356518048549</v>
      </c>
      <c r="K38" s="240"/>
      <c r="L38" s="179"/>
      <c r="M38" s="166"/>
    </row>
    <row r="39" spans="1:13" x14ac:dyDescent="0.2">
      <c r="A39" s="199">
        <v>33</v>
      </c>
      <c r="B39" s="198" t="s">
        <v>174</v>
      </c>
      <c r="C39" s="197">
        <v>92421</v>
      </c>
      <c r="D39" s="196">
        <f t="shared" si="0"/>
        <v>3.0144710658593806E-2</v>
      </c>
      <c r="E39" s="195">
        <f t="shared" si="1"/>
        <v>2134.2584830845749</v>
      </c>
      <c r="F39" s="194">
        <f t="shared" si="2"/>
        <v>1041.1826409797648</v>
      </c>
      <c r="G39" s="193">
        <f t="shared" si="3"/>
        <v>3175.4411240643394</v>
      </c>
      <c r="K39" s="240"/>
      <c r="L39" s="179"/>
      <c r="M39" s="166"/>
    </row>
    <row r="40" spans="1:13" x14ac:dyDescent="0.2">
      <c r="A40" s="192">
        <v>34</v>
      </c>
      <c r="B40" s="191" t="s">
        <v>173</v>
      </c>
      <c r="C40" s="190">
        <v>68650</v>
      </c>
      <c r="D40" s="189">
        <f t="shared" si="0"/>
        <v>2.2391387095059185E-2</v>
      </c>
      <c r="E40" s="188">
        <f t="shared" si="1"/>
        <v>1585.3198392546724</v>
      </c>
      <c r="F40" s="188">
        <f t="shared" si="2"/>
        <v>1041.1826409797648</v>
      </c>
      <c r="G40" s="187">
        <f t="shared" si="3"/>
        <v>2626.5024802344369</v>
      </c>
      <c r="K40" s="240"/>
      <c r="L40" s="179"/>
      <c r="M40" s="180"/>
    </row>
    <row r="41" spans="1:13" x14ac:dyDescent="0.2">
      <c r="A41" s="186"/>
      <c r="B41" s="169"/>
      <c r="C41" s="171"/>
      <c r="D41" s="185"/>
      <c r="E41" s="184"/>
      <c r="F41" s="184"/>
      <c r="G41" s="183"/>
      <c r="K41" s="240"/>
      <c r="L41" s="179"/>
      <c r="M41" s="180"/>
    </row>
    <row r="42" spans="1:13" ht="13.5" thickBot="1" x14ac:dyDescent="0.25">
      <c r="A42" s="178"/>
      <c r="B42" s="177" t="s">
        <v>171</v>
      </c>
      <c r="C42" s="180">
        <f>SUM(C7:C40)</f>
        <v>3065911</v>
      </c>
      <c r="D42" s="175">
        <f>SUM(D7:D40)</f>
        <v>0.99999999999999978</v>
      </c>
      <c r="E42" s="182">
        <f>SUM(E7:E40)</f>
        <v>70800.43020668799</v>
      </c>
      <c r="F42" s="182">
        <f>SUM(F7:F40)</f>
        <v>35400.209793312002</v>
      </c>
      <c r="G42" s="181">
        <f>SUM(G7:G40)</f>
        <v>106200.64</v>
      </c>
      <c r="K42" s="240"/>
      <c r="L42" s="179"/>
      <c r="M42" s="178"/>
    </row>
    <row r="43" spans="1:13" ht="13.5" thickTop="1" x14ac:dyDescent="0.2">
      <c r="A43" s="178"/>
      <c r="B43" s="177"/>
      <c r="C43" s="180"/>
      <c r="D43" s="175"/>
      <c r="E43" s="152"/>
      <c r="F43" s="174"/>
      <c r="G43" s="173"/>
      <c r="K43" s="240"/>
      <c r="L43" s="179"/>
    </row>
    <row r="44" spans="1:13" x14ac:dyDescent="0.2">
      <c r="A44" s="178"/>
      <c r="B44" s="177" t="s">
        <v>168</v>
      </c>
      <c r="C44" s="176">
        <f>L41</f>
        <v>0</v>
      </c>
      <c r="D44" s="175"/>
      <c r="E44" s="152"/>
      <c r="F44" s="174"/>
      <c r="G44" s="173"/>
    </row>
    <row r="45" spans="1:13" x14ac:dyDescent="0.2">
      <c r="B45" s="151" t="s">
        <v>167</v>
      </c>
      <c r="C45" s="166">
        <f>C44+C42</f>
        <v>3065911</v>
      </c>
    </row>
    <row r="46" spans="1:13" x14ac:dyDescent="0.2">
      <c r="C46" s="166"/>
    </row>
    <row r="47" spans="1:13" x14ac:dyDescent="0.2">
      <c r="A47" s="172" t="s">
        <v>166</v>
      </c>
      <c r="D47" s="171"/>
      <c r="G47" s="170"/>
    </row>
    <row r="49" spans="1:13" x14ac:dyDescent="0.2">
      <c r="A49" s="151" t="s">
        <v>165</v>
      </c>
      <c r="B49" s="169"/>
      <c r="C49" s="166"/>
      <c r="D49" s="151"/>
      <c r="E49" s="154"/>
      <c r="F49" s="157"/>
      <c r="G49" s="168">
        <f>0.3333333*G51</f>
        <v>35400.209793312002</v>
      </c>
    </row>
    <row r="50" spans="1:13" x14ac:dyDescent="0.2">
      <c r="A50" s="151" t="s">
        <v>164</v>
      </c>
      <c r="B50" s="167"/>
      <c r="C50" s="166"/>
      <c r="D50" s="151"/>
      <c r="E50" s="165"/>
      <c r="G50" s="164">
        <f>D54-G49</f>
        <v>70800.430206688005</v>
      </c>
    </row>
    <row r="51" spans="1:13" ht="13.5" thickBot="1" x14ac:dyDescent="0.25">
      <c r="A51" s="151" t="s">
        <v>163</v>
      </c>
      <c r="D51" s="151"/>
      <c r="E51" s="157"/>
      <c r="G51" s="163">
        <f>D54</f>
        <v>106200.64</v>
      </c>
    </row>
    <row r="52" spans="1:13" ht="13.5" thickTop="1" x14ac:dyDescent="0.2">
      <c r="D52" s="162"/>
      <c r="E52" s="152"/>
    </row>
    <row r="53" spans="1:13" x14ac:dyDescent="0.2">
      <c r="D53" s="161" t="s">
        <v>162</v>
      </c>
      <c r="E53" s="161" t="s">
        <v>161</v>
      </c>
      <c r="F53" s="161" t="s">
        <v>160</v>
      </c>
    </row>
    <row r="54" spans="1:13" s="152" customFormat="1" x14ac:dyDescent="0.2">
      <c r="A54" s="151" t="s">
        <v>159</v>
      </c>
      <c r="C54" s="151"/>
      <c r="D54" s="160">
        <v>106200.64</v>
      </c>
      <c r="E54" s="160">
        <v>110378.62</v>
      </c>
      <c r="F54" s="160">
        <v>114924</v>
      </c>
      <c r="J54" s="178"/>
      <c r="K54" s="151"/>
      <c r="L54" s="151"/>
      <c r="M54" s="151"/>
    </row>
    <row r="55" spans="1:13" s="152" customFormat="1" x14ac:dyDescent="0.2">
      <c r="A55" s="151"/>
      <c r="B55" s="151"/>
      <c r="C55" s="151"/>
      <c r="D55" s="160"/>
      <c r="E55" s="160"/>
      <c r="F55" s="160"/>
      <c r="J55" s="178"/>
      <c r="K55" s="151"/>
      <c r="L55" s="151"/>
      <c r="M55" s="151"/>
    </row>
    <row r="56" spans="1:13" s="152" customFormat="1" x14ac:dyDescent="0.2">
      <c r="A56" s="159"/>
      <c r="B56" s="158">
        <v>44004</v>
      </c>
      <c r="C56" s="151"/>
      <c r="D56" s="157"/>
      <c r="E56" s="151"/>
      <c r="F56" s="151"/>
      <c r="J56" s="178"/>
      <c r="K56" s="151"/>
      <c r="L56" s="151"/>
      <c r="M56" s="151"/>
    </row>
    <row r="57" spans="1:13" s="152" customFormat="1" x14ac:dyDescent="0.2">
      <c r="A57" s="151"/>
      <c r="B57" s="151"/>
      <c r="C57" s="151"/>
      <c r="D57" s="153"/>
      <c r="E57" s="156">
        <f>E54-D54</f>
        <v>4177.9799999999959</v>
      </c>
      <c r="F57" s="156">
        <f>F54-E54</f>
        <v>4545.3800000000047</v>
      </c>
      <c r="J57" s="178"/>
      <c r="K57" s="151"/>
      <c r="L57" s="151"/>
      <c r="M57" s="151"/>
    </row>
    <row r="58" spans="1:13" s="152" customFormat="1" x14ac:dyDescent="0.2">
      <c r="A58" s="151"/>
      <c r="B58" s="151"/>
      <c r="C58" s="151"/>
      <c r="D58" s="153"/>
      <c r="E58" s="155">
        <f>E57/D54</f>
        <v>3.9340440886231912E-2</v>
      </c>
      <c r="F58" s="155">
        <f>F57/E54</f>
        <v>4.1179895164480264E-2</v>
      </c>
      <c r="J58" s="178"/>
      <c r="K58" s="151"/>
      <c r="L58" s="151"/>
      <c r="M58" s="151"/>
    </row>
    <row r="59" spans="1:13" x14ac:dyDescent="0.2">
      <c r="J59" s="165"/>
      <c r="K59" s="152"/>
      <c r="L59" s="152"/>
      <c r="M59" s="152"/>
    </row>
    <row r="60" spans="1:13" s="152" customFormat="1" x14ac:dyDescent="0.2">
      <c r="A60" s="151"/>
      <c r="B60" s="151"/>
      <c r="C60" s="151"/>
      <c r="D60" s="153"/>
      <c r="E60" s="154">
        <f>SUM(E7:E40)</f>
        <v>70800.43020668799</v>
      </c>
      <c r="F60" s="154">
        <f>SUM(F7:F40)</f>
        <v>35400.209793312002</v>
      </c>
      <c r="G60" s="154">
        <f>SUM(E60:F60)</f>
        <v>106200.63999999998</v>
      </c>
      <c r="J60" s="165"/>
    </row>
    <row r="61" spans="1:13" s="152" customFormat="1" x14ac:dyDescent="0.2">
      <c r="A61" s="151"/>
      <c r="B61" s="151"/>
      <c r="C61" s="151"/>
      <c r="D61" s="153"/>
      <c r="E61" s="152">
        <f>E60-G50</f>
        <v>0</v>
      </c>
      <c r="F61" s="152">
        <f>F60-G49</f>
        <v>0</v>
      </c>
      <c r="G61" s="152">
        <f>G60-G51</f>
        <v>0</v>
      </c>
      <c r="J61" s="165"/>
    </row>
    <row r="62" spans="1:13" x14ac:dyDescent="0.2">
      <c r="J62" s="165"/>
      <c r="K62" s="152"/>
      <c r="L62" s="152"/>
      <c r="M62" s="152"/>
    </row>
    <row r="63" spans="1:13" x14ac:dyDescent="0.2">
      <c r="J63" s="165"/>
      <c r="K63" s="152"/>
      <c r="L63" s="152"/>
      <c r="M63" s="152"/>
    </row>
    <row r="65" spans="10:13" x14ac:dyDescent="0.2">
      <c r="J65" s="165"/>
      <c r="K65" s="152"/>
      <c r="L65" s="152"/>
      <c r="M65" s="152"/>
    </row>
    <row r="66" spans="10:13" x14ac:dyDescent="0.2">
      <c r="J66" s="165"/>
      <c r="K66" s="152"/>
      <c r="L66" s="152"/>
      <c r="M66" s="152"/>
    </row>
  </sheetData>
  <mergeCells count="2">
    <mergeCell ref="B3:G3"/>
    <mergeCell ref="B4:G4"/>
  </mergeCells>
  <pageMargins left="0.5" right="0.26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2"/>
  <sheetViews>
    <sheetView workbookViewId="0">
      <selection activeCell="A3" sqref="A3:XFD32"/>
    </sheetView>
  </sheetViews>
  <sheetFormatPr defaultColWidth="11.42578125" defaultRowHeight="15" x14ac:dyDescent="0.25"/>
  <cols>
    <col min="1" max="1" width="18.42578125" bestFit="1" customWidth="1"/>
    <col min="2" max="3" width="14" bestFit="1" customWidth="1"/>
    <col min="4" max="4" width="12.85546875" customWidth="1"/>
    <col min="5" max="5" width="14.42578125" bestFit="1" customWidth="1"/>
    <col min="6" max="6" width="14.7109375" bestFit="1" customWidth="1"/>
    <col min="7" max="8" width="14.7109375" customWidth="1"/>
    <col min="9" max="9" width="40.7109375" style="89" customWidth="1"/>
  </cols>
  <sheetData>
    <row r="1" spans="1:9" ht="23.25" x14ac:dyDescent="0.35">
      <c r="A1" s="351" t="s">
        <v>114</v>
      </c>
      <c r="B1" s="351"/>
      <c r="C1" s="351"/>
      <c r="D1" s="351"/>
      <c r="E1" s="351"/>
      <c r="F1" s="351"/>
      <c r="G1" s="351"/>
      <c r="H1" s="351"/>
      <c r="I1" s="351"/>
    </row>
    <row r="2" spans="1:9" x14ac:dyDescent="0.25">
      <c r="B2" s="88"/>
    </row>
    <row r="3" spans="1:9" s="320" customFormat="1" ht="15.75" x14ac:dyDescent="0.25">
      <c r="A3" s="317" t="s">
        <v>67</v>
      </c>
      <c r="B3" s="318" t="s">
        <v>68</v>
      </c>
      <c r="C3" s="318" t="s">
        <v>69</v>
      </c>
      <c r="D3" s="318" t="s">
        <v>70</v>
      </c>
      <c r="E3" s="318" t="s">
        <v>108</v>
      </c>
      <c r="F3" s="318" t="s">
        <v>115</v>
      </c>
      <c r="G3" s="318" t="s">
        <v>134</v>
      </c>
      <c r="H3" s="318" t="s">
        <v>135</v>
      </c>
      <c r="I3" s="319" t="s">
        <v>71</v>
      </c>
    </row>
    <row r="4" spans="1:9" s="320" customFormat="1" ht="30" x14ac:dyDescent="0.25">
      <c r="A4" s="321" t="s">
        <v>72</v>
      </c>
      <c r="B4" s="322">
        <v>18000</v>
      </c>
      <c r="C4" s="322">
        <v>29500</v>
      </c>
      <c r="D4" s="322">
        <v>50000</v>
      </c>
      <c r="E4" s="322">
        <v>21500</v>
      </c>
      <c r="F4" s="322">
        <v>50000</v>
      </c>
      <c r="G4" s="322">
        <v>3500</v>
      </c>
      <c r="H4" s="322">
        <v>50000</v>
      </c>
      <c r="I4" s="323" t="s">
        <v>142</v>
      </c>
    </row>
    <row r="5" spans="1:9" s="320" customFormat="1" x14ac:dyDescent="0.25">
      <c r="A5" s="321" t="s">
        <v>73</v>
      </c>
      <c r="B5" s="322">
        <v>8663.2099999999991</v>
      </c>
      <c r="C5" s="322">
        <v>4081</v>
      </c>
      <c r="D5" s="322">
        <v>8200</v>
      </c>
      <c r="E5" s="322">
        <v>9406</v>
      </c>
      <c r="F5" s="322">
        <v>10000</v>
      </c>
      <c r="G5" s="322">
        <v>4026</v>
      </c>
      <c r="H5" s="322">
        <v>10000</v>
      </c>
      <c r="I5" s="323"/>
    </row>
    <row r="6" spans="1:9" s="320" customFormat="1" x14ac:dyDescent="0.25">
      <c r="A6" s="321" t="s">
        <v>74</v>
      </c>
      <c r="B6" s="322">
        <v>8000</v>
      </c>
      <c r="C6" s="322">
        <v>2500</v>
      </c>
      <c r="D6" s="322">
        <v>2500</v>
      </c>
      <c r="E6" s="322">
        <v>1000</v>
      </c>
      <c r="F6" s="322">
        <v>1000</v>
      </c>
      <c r="G6" s="322">
        <v>1000</v>
      </c>
      <c r="H6" s="322">
        <v>1000</v>
      </c>
      <c r="I6" s="323" t="s">
        <v>75</v>
      </c>
    </row>
    <row r="7" spans="1:9" s="320" customFormat="1" ht="15.75" x14ac:dyDescent="0.25">
      <c r="A7" s="317" t="s">
        <v>76</v>
      </c>
      <c r="B7" s="318">
        <f t="shared" ref="B7:H7" si="0">SUM(B4:B6)</f>
        <v>34663.21</v>
      </c>
      <c r="C7" s="318">
        <f t="shared" si="0"/>
        <v>36081</v>
      </c>
      <c r="D7" s="318">
        <f t="shared" si="0"/>
        <v>60700</v>
      </c>
      <c r="E7" s="318">
        <f t="shared" si="0"/>
        <v>31906</v>
      </c>
      <c r="F7" s="318">
        <f t="shared" si="0"/>
        <v>61000</v>
      </c>
      <c r="G7" s="318">
        <f t="shared" si="0"/>
        <v>8526</v>
      </c>
      <c r="H7" s="318">
        <f t="shared" si="0"/>
        <v>61000</v>
      </c>
      <c r="I7" s="323"/>
    </row>
    <row r="8" spans="1:9" s="320" customFormat="1" x14ac:dyDescent="0.25">
      <c r="A8" s="321"/>
      <c r="B8" s="322"/>
      <c r="C8" s="322"/>
      <c r="D8" s="322"/>
      <c r="E8" s="322"/>
      <c r="F8" s="322"/>
      <c r="G8" s="322"/>
      <c r="H8" s="322"/>
      <c r="I8" s="323"/>
    </row>
    <row r="9" spans="1:9" s="320" customFormat="1" ht="15.75" x14ac:dyDescent="0.25">
      <c r="A9" s="324" t="s">
        <v>77</v>
      </c>
      <c r="B9" s="325"/>
      <c r="C9" s="325"/>
      <c r="D9" s="325"/>
      <c r="E9" s="325"/>
      <c r="F9" s="325"/>
      <c r="G9" s="325"/>
      <c r="H9" s="325"/>
      <c r="I9" s="326"/>
    </row>
    <row r="10" spans="1:9" s="320" customFormat="1" x14ac:dyDescent="0.25">
      <c r="A10" s="321" t="s">
        <v>78</v>
      </c>
      <c r="B10" s="322"/>
      <c r="C10" s="322"/>
      <c r="D10" s="322"/>
      <c r="E10" s="322"/>
      <c r="F10" s="322"/>
      <c r="G10" s="322"/>
      <c r="H10" s="322"/>
      <c r="I10" s="323"/>
    </row>
    <row r="11" spans="1:9" s="320" customFormat="1" ht="30" x14ac:dyDescent="0.25">
      <c r="A11" s="327" t="s">
        <v>79</v>
      </c>
      <c r="B11" s="322">
        <v>17842</v>
      </c>
      <c r="C11" s="322">
        <f>5802.5+ 9920+1475+1600+363.5</f>
        <v>19161</v>
      </c>
      <c r="D11" s="322">
        <v>20000</v>
      </c>
      <c r="E11" s="322">
        <f>8680+4022+2184</f>
        <v>14886</v>
      </c>
      <c r="F11" s="322">
        <v>21000</v>
      </c>
      <c r="G11" s="322">
        <v>2500</v>
      </c>
      <c r="H11" s="322">
        <v>21000</v>
      </c>
      <c r="I11" s="323" t="s">
        <v>143</v>
      </c>
    </row>
    <row r="12" spans="1:9" s="320" customFormat="1" x14ac:dyDescent="0.25">
      <c r="A12" s="327" t="s">
        <v>80</v>
      </c>
      <c r="B12" s="322">
        <v>4010.85</v>
      </c>
      <c r="C12" s="322">
        <f>C11*0.22</f>
        <v>4215.42</v>
      </c>
      <c r="D12" s="322">
        <f>D11*0.22</f>
        <v>4400</v>
      </c>
      <c r="E12" s="322">
        <f>E11*0.22</f>
        <v>3274.92</v>
      </c>
      <c r="F12" s="322">
        <f>F11*0.22</f>
        <v>4620</v>
      </c>
      <c r="G12" s="322"/>
      <c r="H12" s="322">
        <f>H11*0.22</f>
        <v>4620</v>
      </c>
      <c r="I12" s="328" t="s">
        <v>81</v>
      </c>
    </row>
    <row r="13" spans="1:9" s="320" customFormat="1" x14ac:dyDescent="0.25">
      <c r="A13" s="327" t="s">
        <v>82</v>
      </c>
      <c r="B13" s="322">
        <v>1723.93</v>
      </c>
      <c r="C13" s="322">
        <f>(C11+C12)*0.08</f>
        <v>1870.1135999999999</v>
      </c>
      <c r="D13" s="322">
        <f>(D11+D12)*0.08</f>
        <v>1952</v>
      </c>
      <c r="E13" s="322">
        <f>(E11+E12)*0.08</f>
        <v>1452.8735999999999</v>
      </c>
      <c r="F13" s="322">
        <f>(F11+F12)*0.08</f>
        <v>2049.6</v>
      </c>
      <c r="G13" s="322"/>
      <c r="H13" s="322">
        <f>(H11+H12)*0.08</f>
        <v>2049.6</v>
      </c>
      <c r="I13" s="329">
        <v>7.7499999999999999E-2</v>
      </c>
    </row>
    <row r="14" spans="1:9" s="320" customFormat="1" ht="15.75" x14ac:dyDescent="0.25">
      <c r="A14" s="330" t="s">
        <v>83</v>
      </c>
      <c r="B14" s="318">
        <f>SUM(B11:B13)</f>
        <v>23576.78</v>
      </c>
      <c r="C14" s="318">
        <f>SUM(C11:C13)</f>
        <v>25246.533599999999</v>
      </c>
      <c r="D14" s="318">
        <f>SUM(D11:D13)</f>
        <v>26352</v>
      </c>
      <c r="E14" s="318">
        <f>SUM(E11:E13)</f>
        <v>19613.793599999997</v>
      </c>
      <c r="F14" s="318">
        <f>SUM(F11:F13)</f>
        <v>27669.599999999999</v>
      </c>
      <c r="G14" s="318"/>
      <c r="H14" s="318">
        <f>SUM(H11:H13)</f>
        <v>27669.599999999999</v>
      </c>
      <c r="I14" s="323"/>
    </row>
    <row r="15" spans="1:9" s="320" customFormat="1" x14ac:dyDescent="0.25">
      <c r="A15" s="321" t="s">
        <v>84</v>
      </c>
      <c r="B15" s="322">
        <v>673.44</v>
      </c>
      <c r="C15" s="322">
        <v>700.38</v>
      </c>
      <c r="D15" s="322">
        <v>1000</v>
      </c>
      <c r="E15" s="322">
        <v>550</v>
      </c>
      <c r="F15" s="322">
        <v>750</v>
      </c>
      <c r="G15" s="322"/>
      <c r="H15" s="322">
        <v>750</v>
      </c>
      <c r="I15" s="323" t="s">
        <v>85</v>
      </c>
    </row>
    <row r="16" spans="1:9" s="320" customFormat="1" x14ac:dyDescent="0.25">
      <c r="A16" s="321" t="s">
        <v>86</v>
      </c>
      <c r="B16" s="322">
        <v>9286.69</v>
      </c>
      <c r="C16" s="322">
        <v>9597.5499999999993</v>
      </c>
      <c r="D16" s="322">
        <v>10000</v>
      </c>
      <c r="E16" s="322">
        <v>8170</v>
      </c>
      <c r="F16" s="322">
        <v>9000</v>
      </c>
      <c r="G16" s="322"/>
      <c r="H16" s="322">
        <v>9000</v>
      </c>
      <c r="I16" s="323"/>
    </row>
    <row r="17" spans="1:9" s="320" customFormat="1" x14ac:dyDescent="0.25">
      <c r="A17" s="321" t="s">
        <v>87</v>
      </c>
      <c r="B17" s="322">
        <f>680+280</f>
        <v>960</v>
      </c>
      <c r="C17" s="322">
        <v>800</v>
      </c>
      <c r="D17" s="322">
        <v>1960</v>
      </c>
      <c r="E17" s="322">
        <f>940+20+25</f>
        <v>985</v>
      </c>
      <c r="F17" s="322">
        <v>1500</v>
      </c>
      <c r="G17" s="322"/>
      <c r="H17" s="322">
        <v>1500</v>
      </c>
      <c r="I17" s="323" t="s">
        <v>116</v>
      </c>
    </row>
    <row r="18" spans="1:9" s="320" customFormat="1" ht="30" x14ac:dyDescent="0.25">
      <c r="A18" s="321" t="s">
        <v>88</v>
      </c>
      <c r="B18" s="322">
        <v>600</v>
      </c>
      <c r="C18" s="322">
        <v>1000</v>
      </c>
      <c r="D18" s="322">
        <v>500</v>
      </c>
      <c r="E18" s="322">
        <v>0</v>
      </c>
      <c r="F18" s="322">
        <v>0</v>
      </c>
      <c r="G18" s="322"/>
      <c r="H18" s="322">
        <v>0</v>
      </c>
      <c r="I18" s="323" t="s">
        <v>89</v>
      </c>
    </row>
    <row r="19" spans="1:9" s="320" customFormat="1" ht="30" x14ac:dyDescent="0.25">
      <c r="A19" s="321" t="s">
        <v>90</v>
      </c>
      <c r="B19" s="322">
        <v>0</v>
      </c>
      <c r="C19" s="322">
        <v>0</v>
      </c>
      <c r="D19" s="322">
        <v>1000</v>
      </c>
      <c r="E19" s="322">
        <v>0</v>
      </c>
      <c r="F19" s="322">
        <v>0</v>
      </c>
      <c r="G19" s="322"/>
      <c r="H19" s="322">
        <v>0</v>
      </c>
      <c r="I19" s="323" t="s">
        <v>154</v>
      </c>
    </row>
    <row r="20" spans="1:9" s="320" customFormat="1" x14ac:dyDescent="0.25">
      <c r="A20" s="321" t="s">
        <v>91</v>
      </c>
      <c r="B20" s="322">
        <v>2318.7800000000002</v>
      </c>
      <c r="C20" s="322">
        <v>2477.33</v>
      </c>
      <c r="D20" s="322">
        <v>3000</v>
      </c>
      <c r="E20" s="322">
        <f>735+1444</f>
        <v>2179</v>
      </c>
      <c r="F20" s="322">
        <v>2500</v>
      </c>
      <c r="G20" s="322"/>
      <c r="H20" s="322">
        <v>2500</v>
      </c>
      <c r="I20" s="323" t="s">
        <v>92</v>
      </c>
    </row>
    <row r="21" spans="1:9" s="320" customFormat="1" x14ac:dyDescent="0.25">
      <c r="A21" s="321" t="s">
        <v>93</v>
      </c>
      <c r="B21" s="322">
        <v>8830.52</v>
      </c>
      <c r="C21" s="322">
        <f>7026.65+3589.66</f>
        <v>10616.31</v>
      </c>
      <c r="D21" s="322">
        <v>10000</v>
      </c>
      <c r="E21" s="322">
        <v>2650</v>
      </c>
      <c r="F21" s="322">
        <v>3000</v>
      </c>
      <c r="G21" s="322">
        <v>3000</v>
      </c>
      <c r="H21" s="322">
        <v>6000</v>
      </c>
      <c r="I21" s="323"/>
    </row>
    <row r="22" spans="1:9" s="320" customFormat="1" x14ac:dyDescent="0.25">
      <c r="A22" s="321" t="s">
        <v>94</v>
      </c>
      <c r="B22" s="322">
        <v>5000</v>
      </c>
      <c r="C22" s="322">
        <v>20000</v>
      </c>
      <c r="D22" s="322">
        <v>0</v>
      </c>
      <c r="E22" s="322">
        <v>0</v>
      </c>
      <c r="F22" s="322">
        <v>0</v>
      </c>
      <c r="G22" s="322">
        <v>0</v>
      </c>
      <c r="H22" s="322">
        <v>0</v>
      </c>
      <c r="I22" s="323"/>
    </row>
    <row r="23" spans="1:9" s="320" customFormat="1" x14ac:dyDescent="0.25">
      <c r="A23" s="321" t="s">
        <v>95</v>
      </c>
      <c r="B23" s="322">
        <v>0</v>
      </c>
      <c r="C23" s="322">
        <v>3733.6</v>
      </c>
      <c r="D23" s="322">
        <f>4*330</f>
        <v>1320</v>
      </c>
      <c r="E23" s="322">
        <f>(322+48.3+6.44)*2</f>
        <v>753.48</v>
      </c>
      <c r="F23" s="322">
        <v>800</v>
      </c>
      <c r="G23" s="322"/>
      <c r="H23" s="322">
        <v>800</v>
      </c>
      <c r="I23" s="323"/>
    </row>
    <row r="24" spans="1:9" s="320" customFormat="1" x14ac:dyDescent="0.25">
      <c r="A24" s="321" t="s">
        <v>96</v>
      </c>
      <c r="B24" s="322"/>
      <c r="C24" s="322"/>
      <c r="D24" s="322"/>
      <c r="E24" s="322"/>
      <c r="F24" s="322"/>
      <c r="G24" s="322"/>
      <c r="H24" s="322"/>
      <c r="I24" s="323"/>
    </row>
    <row r="25" spans="1:9" s="320" customFormat="1" ht="30" x14ac:dyDescent="0.25">
      <c r="A25" s="327" t="s">
        <v>97</v>
      </c>
      <c r="B25" s="322">
        <v>238</v>
      </c>
      <c r="C25" s="322">
        <v>176.13</v>
      </c>
      <c r="D25" s="322">
        <f>0.99*300</f>
        <v>297</v>
      </c>
      <c r="E25" s="322">
        <v>0</v>
      </c>
      <c r="F25" s="322">
        <v>0</v>
      </c>
      <c r="G25" s="322">
        <v>0</v>
      </c>
      <c r="H25" s="322">
        <v>0</v>
      </c>
      <c r="I25" s="323" t="s">
        <v>98</v>
      </c>
    </row>
    <row r="26" spans="1:9" s="320" customFormat="1" ht="30" x14ac:dyDescent="0.25">
      <c r="A26" s="327" t="s">
        <v>99</v>
      </c>
      <c r="B26" s="322">
        <v>400</v>
      </c>
      <c r="C26" s="322">
        <v>118.74</v>
      </c>
      <c r="D26" s="322">
        <f>0.025*10000</f>
        <v>250</v>
      </c>
      <c r="E26" s="322">
        <v>0</v>
      </c>
      <c r="F26" s="322">
        <v>0</v>
      </c>
      <c r="G26" s="322">
        <v>0</v>
      </c>
      <c r="H26" s="322">
        <v>0</v>
      </c>
      <c r="I26" s="323" t="s">
        <v>98</v>
      </c>
    </row>
    <row r="27" spans="1:9" s="320" customFormat="1" x14ac:dyDescent="0.25">
      <c r="A27" s="321" t="s">
        <v>100</v>
      </c>
      <c r="B27" s="322">
        <v>0</v>
      </c>
      <c r="C27" s="322">
        <v>1500</v>
      </c>
      <c r="D27" s="322">
        <v>1500</v>
      </c>
      <c r="E27" s="322">
        <v>0</v>
      </c>
      <c r="F27" s="322">
        <v>0</v>
      </c>
      <c r="G27" s="322">
        <v>0</v>
      </c>
      <c r="H27" s="322">
        <v>2000</v>
      </c>
      <c r="I27" s="323" t="s">
        <v>145</v>
      </c>
    </row>
    <row r="28" spans="1:9" s="320" customFormat="1" x14ac:dyDescent="0.25">
      <c r="A28" s="321" t="s">
        <v>101</v>
      </c>
      <c r="B28" s="322">
        <f>126.26+49.06+109.91</f>
        <v>285.23</v>
      </c>
      <c r="C28" s="322">
        <f>161.63+131.42+285.32+161.63</f>
        <v>739.99999999999989</v>
      </c>
      <c r="D28" s="322">
        <v>1000</v>
      </c>
      <c r="E28" s="322">
        <v>810</v>
      </c>
      <c r="F28" s="322">
        <v>1000</v>
      </c>
      <c r="G28" s="322"/>
      <c r="H28" s="322">
        <v>1000</v>
      </c>
      <c r="I28" s="323" t="s">
        <v>102</v>
      </c>
    </row>
    <row r="29" spans="1:9" s="320" customFormat="1" ht="30" x14ac:dyDescent="0.25">
      <c r="A29" s="321" t="s">
        <v>103</v>
      </c>
      <c r="B29" s="322">
        <v>1621.48</v>
      </c>
      <c r="C29" s="322">
        <f>607.22+673.44+64.65</f>
        <v>1345.3100000000002</v>
      </c>
      <c r="D29" s="322">
        <v>2500</v>
      </c>
      <c r="E29" s="322">
        <v>687</v>
      </c>
      <c r="F29" s="322">
        <v>2000</v>
      </c>
      <c r="G29" s="322">
        <v>1622.53</v>
      </c>
      <c r="H29" s="322">
        <v>500</v>
      </c>
      <c r="I29" s="323" t="s">
        <v>144</v>
      </c>
    </row>
    <row r="30" spans="1:9" s="320" customFormat="1" ht="15.75" x14ac:dyDescent="0.25">
      <c r="A30" s="317" t="s">
        <v>104</v>
      </c>
      <c r="B30" s="318">
        <f t="shared" ref="B30:H30" si="1">SUM(B14:B29)</f>
        <v>53790.92</v>
      </c>
      <c r="C30" s="318">
        <f t="shared" si="1"/>
        <v>78051.883600000016</v>
      </c>
      <c r="D30" s="318">
        <f t="shared" si="1"/>
        <v>60679</v>
      </c>
      <c r="E30" s="318">
        <f t="shared" si="1"/>
        <v>36398.2736</v>
      </c>
      <c r="F30" s="318">
        <f t="shared" si="1"/>
        <v>48219.6</v>
      </c>
      <c r="G30" s="318">
        <f t="shared" si="1"/>
        <v>4622.53</v>
      </c>
      <c r="H30" s="318">
        <f t="shared" si="1"/>
        <v>51719.6</v>
      </c>
      <c r="I30" s="331"/>
    </row>
    <row r="31" spans="1:9" s="320" customFormat="1" x14ac:dyDescent="0.25">
      <c r="A31" s="321"/>
      <c r="B31" s="322"/>
      <c r="C31" s="322"/>
      <c r="D31" s="322"/>
      <c r="E31" s="322"/>
      <c r="F31" s="322"/>
      <c r="G31" s="322"/>
      <c r="H31" s="322"/>
      <c r="I31" s="323"/>
    </row>
    <row r="32" spans="1:9" s="320" customFormat="1" ht="15.75" x14ac:dyDescent="0.25">
      <c r="A32" s="317" t="s">
        <v>105</v>
      </c>
      <c r="B32" s="318">
        <f t="shared" ref="B32:H32" si="2">B7-B30</f>
        <v>-19127.71</v>
      </c>
      <c r="C32" s="318">
        <f t="shared" si="2"/>
        <v>-41970.883600000016</v>
      </c>
      <c r="D32" s="318">
        <f t="shared" si="2"/>
        <v>21</v>
      </c>
      <c r="E32" s="318">
        <f t="shared" si="2"/>
        <v>-4492.2736000000004</v>
      </c>
      <c r="F32" s="318">
        <f t="shared" si="2"/>
        <v>12780.400000000001</v>
      </c>
      <c r="G32" s="318">
        <f t="shared" si="2"/>
        <v>3903.4700000000003</v>
      </c>
      <c r="H32" s="318">
        <f t="shared" si="2"/>
        <v>9280.4000000000015</v>
      </c>
      <c r="I32" s="332"/>
    </row>
  </sheetData>
  <mergeCells count="1">
    <mergeCell ref="A1:I1"/>
  </mergeCells>
  <pageMargins left="0.7" right="0.7" top="0.75" bottom="0.75" header="0.3" footer="0.3"/>
  <pageSetup scale="77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view="pageBreakPreview" zoomScale="60" workbookViewId="0">
      <selection activeCell="F3" sqref="F3"/>
    </sheetView>
  </sheetViews>
  <sheetFormatPr defaultColWidth="8.85546875" defaultRowHeight="12.75" x14ac:dyDescent="0.2"/>
  <cols>
    <col min="1" max="1" width="22" style="218" customWidth="1"/>
    <col min="2" max="2" width="12.28515625" style="218" bestFit="1" customWidth="1"/>
    <col min="3" max="3" width="13.140625" style="219" customWidth="1"/>
    <col min="4" max="5" width="12.42578125" style="219" customWidth="1"/>
    <col min="6" max="6" width="24" style="218" customWidth="1"/>
    <col min="7" max="7" width="25.7109375" style="218" customWidth="1"/>
    <col min="8" max="16384" width="8.85546875" style="218"/>
  </cols>
  <sheetData>
    <row r="1" spans="1:6" x14ac:dyDescent="0.2">
      <c r="A1" s="217" t="s">
        <v>215</v>
      </c>
    </row>
    <row r="3" spans="1:6" x14ac:dyDescent="0.2">
      <c r="A3" s="220" t="s">
        <v>216</v>
      </c>
      <c r="B3" s="221" t="s">
        <v>217</v>
      </c>
      <c r="C3" s="222" t="s">
        <v>218</v>
      </c>
      <c r="D3" s="223" t="s">
        <v>219</v>
      </c>
      <c r="E3" s="221" t="s">
        <v>220</v>
      </c>
      <c r="F3" s="221" t="s">
        <v>221</v>
      </c>
    </row>
    <row r="4" spans="1:6" x14ac:dyDescent="0.2">
      <c r="A4" s="224" t="s">
        <v>222</v>
      </c>
      <c r="B4" s="225">
        <v>5000</v>
      </c>
      <c r="C4" s="226"/>
      <c r="D4" s="227"/>
      <c r="E4" s="228"/>
      <c r="F4" s="229" t="s">
        <v>223</v>
      </c>
    </row>
    <row r="5" spans="1:6" x14ac:dyDescent="0.2">
      <c r="A5" s="224" t="s">
        <v>224</v>
      </c>
      <c r="B5" s="225">
        <v>2000</v>
      </c>
      <c r="C5" s="226"/>
      <c r="D5" s="227"/>
      <c r="E5" s="228"/>
      <c r="F5" s="229" t="s">
        <v>223</v>
      </c>
    </row>
    <row r="6" spans="1:6" x14ac:dyDescent="0.2">
      <c r="A6" s="224" t="s">
        <v>225</v>
      </c>
      <c r="B6" s="225">
        <v>2000</v>
      </c>
      <c r="C6" s="226"/>
      <c r="D6" s="227"/>
      <c r="E6" s="228"/>
      <c r="F6" s="229" t="s">
        <v>223</v>
      </c>
    </row>
    <row r="7" spans="1:6" x14ac:dyDescent="0.2">
      <c r="A7" s="224" t="s">
        <v>226</v>
      </c>
      <c r="B7" s="225">
        <v>2000</v>
      </c>
      <c r="C7" s="226"/>
      <c r="D7" s="227"/>
      <c r="E7" s="228"/>
      <c r="F7" s="229" t="s">
        <v>223</v>
      </c>
    </row>
    <row r="8" spans="1:6" x14ac:dyDescent="0.2">
      <c r="A8" s="224" t="s">
        <v>227</v>
      </c>
      <c r="B8" s="225">
        <v>2000</v>
      </c>
      <c r="C8" s="226"/>
      <c r="D8" s="227"/>
      <c r="E8" s="228"/>
      <c r="F8" s="229" t="s">
        <v>223</v>
      </c>
    </row>
    <row r="9" spans="1:6" x14ac:dyDescent="0.2">
      <c r="A9" s="224" t="s">
        <v>228</v>
      </c>
      <c r="B9" s="225">
        <v>2000</v>
      </c>
      <c r="C9" s="226"/>
      <c r="D9" s="227"/>
      <c r="E9" s="228"/>
      <c r="F9" s="229" t="s">
        <v>223</v>
      </c>
    </row>
    <row r="10" spans="1:6" x14ac:dyDescent="0.2">
      <c r="A10" s="224" t="s">
        <v>229</v>
      </c>
      <c r="B10" s="225">
        <v>2000</v>
      </c>
      <c r="C10" s="226"/>
      <c r="D10" s="227"/>
      <c r="E10" s="228"/>
      <c r="F10" s="229" t="s">
        <v>223</v>
      </c>
    </row>
    <row r="11" spans="1:6" x14ac:dyDescent="0.2">
      <c r="A11" s="224" t="s">
        <v>230</v>
      </c>
      <c r="B11" s="225">
        <v>2000</v>
      </c>
      <c r="C11" s="226"/>
      <c r="D11" s="227"/>
      <c r="E11" s="228"/>
      <c r="F11" s="229" t="s">
        <v>223</v>
      </c>
    </row>
    <row r="12" spans="1:6" x14ac:dyDescent="0.2">
      <c r="A12" s="224" t="s">
        <v>231</v>
      </c>
      <c r="B12" s="225">
        <v>2000</v>
      </c>
      <c r="C12" s="226"/>
      <c r="D12" s="227"/>
      <c r="E12" s="228"/>
      <c r="F12" s="229" t="s">
        <v>223</v>
      </c>
    </row>
    <row r="13" spans="1:6" x14ac:dyDescent="0.2">
      <c r="A13" s="224" t="s">
        <v>232</v>
      </c>
      <c r="B13" s="225">
        <v>5000</v>
      </c>
      <c r="C13" s="226"/>
      <c r="D13" s="227"/>
      <c r="E13" s="228"/>
      <c r="F13" s="229" t="s">
        <v>223</v>
      </c>
    </row>
    <row r="14" spans="1:6" x14ac:dyDescent="0.2">
      <c r="A14" s="224" t="s">
        <v>233</v>
      </c>
      <c r="B14" s="225">
        <v>2000</v>
      </c>
      <c r="C14" s="226"/>
      <c r="D14" s="227"/>
      <c r="E14" s="228"/>
      <c r="F14" s="229" t="s">
        <v>223</v>
      </c>
    </row>
    <row r="15" spans="1:6" x14ac:dyDescent="0.2">
      <c r="A15" s="224" t="s">
        <v>234</v>
      </c>
      <c r="B15" s="225">
        <v>50000</v>
      </c>
      <c r="C15" s="226"/>
      <c r="D15" s="227"/>
      <c r="E15" s="228"/>
      <c r="F15" s="229" t="s">
        <v>216</v>
      </c>
    </row>
    <row r="16" spans="1:6" x14ac:dyDescent="0.2">
      <c r="A16" s="224" t="s">
        <v>235</v>
      </c>
      <c r="B16" s="225">
        <v>20000</v>
      </c>
      <c r="C16" s="226"/>
      <c r="D16" s="227"/>
      <c r="E16" s="228"/>
      <c r="F16" s="229" t="s">
        <v>216</v>
      </c>
    </row>
    <row r="17" spans="1:6" x14ac:dyDescent="0.2">
      <c r="A17" s="224" t="s">
        <v>236</v>
      </c>
      <c r="B17" s="225">
        <v>62275</v>
      </c>
      <c r="C17" s="226"/>
      <c r="D17" s="227"/>
      <c r="E17" s="228"/>
      <c r="F17" s="229" t="s">
        <v>216</v>
      </c>
    </row>
    <row r="18" spans="1:6" x14ac:dyDescent="0.2">
      <c r="A18" s="224" t="s">
        <v>237</v>
      </c>
      <c r="B18" s="225">
        <v>50000</v>
      </c>
      <c r="C18" s="226"/>
      <c r="D18" s="227"/>
      <c r="E18" s="228"/>
      <c r="F18" s="229" t="s">
        <v>216</v>
      </c>
    </row>
    <row r="19" spans="1:6" x14ac:dyDescent="0.2">
      <c r="A19" s="220" t="s">
        <v>238</v>
      </c>
      <c r="B19" s="230">
        <f>SUM(B4:B18)</f>
        <v>210275</v>
      </c>
      <c r="C19" s="231" t="s">
        <v>239</v>
      </c>
      <c r="D19" s="232">
        <f>SUM(D4:D18)</f>
        <v>0</v>
      </c>
      <c r="E19" s="233" t="s">
        <v>239</v>
      </c>
    </row>
    <row r="20" spans="1:6" x14ac:dyDescent="0.2">
      <c r="A20" s="234"/>
      <c r="B20" s="235"/>
      <c r="C20" s="236"/>
      <c r="D20" s="236"/>
      <c r="E20" s="236"/>
    </row>
    <row r="21" spans="1:6" x14ac:dyDescent="0.2">
      <c r="A21" s="224" t="s">
        <v>240</v>
      </c>
      <c r="B21" s="225">
        <v>230000</v>
      </c>
      <c r="C21" s="229" t="s">
        <v>239</v>
      </c>
      <c r="D21" s="229" t="s">
        <v>239</v>
      </c>
      <c r="E21" s="229" t="s">
        <v>239</v>
      </c>
      <c r="F21" s="218" t="s">
        <v>241</v>
      </c>
    </row>
    <row r="22" spans="1:6" x14ac:dyDescent="0.2">
      <c r="A22" s="218" t="s">
        <v>242</v>
      </c>
      <c r="B22" s="237">
        <f>B21+B19</f>
        <v>440275</v>
      </c>
    </row>
    <row r="23" spans="1:6" x14ac:dyDescent="0.2">
      <c r="B23" s="237"/>
    </row>
    <row r="24" spans="1:6" x14ac:dyDescent="0.2">
      <c r="A24" s="218" t="s">
        <v>243</v>
      </c>
      <c r="B24" s="237">
        <v>383603.1</v>
      </c>
    </row>
    <row r="25" spans="1:6" x14ac:dyDescent="0.2">
      <c r="B25" s="237"/>
    </row>
    <row r="26" spans="1:6" x14ac:dyDescent="0.2">
      <c r="A26" s="218" t="s">
        <v>244</v>
      </c>
      <c r="B26" s="237">
        <f>B24-B21</f>
        <v>153603.09999999998</v>
      </c>
      <c r="C26" s="238" t="s">
        <v>247</v>
      </c>
    </row>
    <row r="27" spans="1:6" x14ac:dyDescent="0.2">
      <c r="B27" s="237"/>
    </row>
    <row r="28" spans="1:6" x14ac:dyDescent="0.2">
      <c r="A28" s="218" t="s">
        <v>245</v>
      </c>
      <c r="B28" s="237">
        <f>B22-B24</f>
        <v>56671.900000000023</v>
      </c>
      <c r="C28" s="238" t="s">
        <v>246</v>
      </c>
    </row>
    <row r="30" spans="1:6" x14ac:dyDescent="0.2">
      <c r="A30" s="239"/>
    </row>
    <row r="31" spans="1:6" x14ac:dyDescent="0.2">
      <c r="A31" s="239">
        <f ca="1">TODAY()</f>
        <v>44229</v>
      </c>
    </row>
  </sheetData>
  <pageMargins left="0.7" right="0.7" top="0.75" bottom="0.75" header="0.3" footer="0.3"/>
  <pageSetup orientation="landscape" r:id="rId1"/>
  <headerFooter>
    <oddFooter>&amp;LPrepared by OCCOG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H59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2020-2021 Draft Budget </vt:lpstr>
      <vt:lpstr>OCCOG dues 2020.06.22 0% flat</vt:lpstr>
      <vt:lpstr>CDR Fees 2020.05.04</vt:lpstr>
      <vt:lpstr>2020-21 GA Budget Detail</vt:lpstr>
      <vt:lpstr>OCDAP Cycle 1 Payment Log</vt:lpstr>
      <vt:lpstr>Sheet1</vt:lpstr>
      <vt:lpstr>'CDR Fees 2020.05.04'!Print_Area</vt:lpstr>
      <vt:lpstr>'OCCOG dues 2020.06.22 0% flat'!Print_Area</vt:lpstr>
      <vt:lpstr>'OCDAP Cycle 1 Payment Log'!Print_Area</vt:lpstr>
      <vt:lpstr>'2020-2021 Draft Budget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Irwin</dc:creator>
  <cp:lastModifiedBy>John Hanson</cp:lastModifiedBy>
  <cp:lastPrinted>2020-06-22T22:06:58Z</cp:lastPrinted>
  <dcterms:created xsi:type="dcterms:W3CDTF">2015-03-01T22:00:13Z</dcterms:created>
  <dcterms:modified xsi:type="dcterms:W3CDTF">2021-02-02T17:05:24Z</dcterms:modified>
</cp:coreProperties>
</file>